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зимне-весеннее" sheetId="1" r:id="rId1"/>
    <sheet name="титул зима" sheetId="2" r:id="rId2"/>
    <sheet name="титул лето" sheetId="3" r:id="rId3"/>
    <sheet name="летне-осенний" sheetId="4" r:id="rId4"/>
  </sheets>
  <definedNames/>
  <calcPr fullCalcOnLoad="1"/>
</workbook>
</file>

<file path=xl/sharedStrings.xml><?xml version="1.0" encoding="utf-8"?>
<sst xmlns="http://schemas.openxmlformats.org/spreadsheetml/2006/main" count="815" uniqueCount="164">
  <si>
    <t>1-й день</t>
  </si>
  <si>
    <t>выход</t>
  </si>
  <si>
    <t>Б</t>
  </si>
  <si>
    <t>Ж</t>
  </si>
  <si>
    <t>У</t>
  </si>
  <si>
    <t>Ккал</t>
  </si>
  <si>
    <t>Завтрак</t>
  </si>
  <si>
    <t>Каша манная на пастеризованном молоке</t>
  </si>
  <si>
    <t>Хлеб с маслом, сыром</t>
  </si>
  <si>
    <t>Итого:</t>
  </si>
  <si>
    <t>2-й завтрак</t>
  </si>
  <si>
    <t>Обед</t>
  </si>
  <si>
    <t>Щи из свежей капусты на мясном бульоне с кипяченой сметаной</t>
  </si>
  <si>
    <t>Огурцы стерилизованные</t>
  </si>
  <si>
    <t>Компот из сухофруктов</t>
  </si>
  <si>
    <t>Хлеб ржаной</t>
  </si>
  <si>
    <t>Полдник</t>
  </si>
  <si>
    <t>Кофейный напиток на пастеризованном молоке</t>
  </si>
  <si>
    <t>Всего за день:</t>
  </si>
  <si>
    <t>2-й день</t>
  </si>
  <si>
    <t>Суп с макаронными изделиями на пастеризованном молоке</t>
  </si>
  <si>
    <t>Хлеб с маслом</t>
  </si>
  <si>
    <t>Бананы</t>
  </si>
  <si>
    <t>Суп картофельный с мясными фрикадельками</t>
  </si>
  <si>
    <t>Рыба тушеная в томате с овощами</t>
  </si>
  <si>
    <t>Рис отварной</t>
  </si>
  <si>
    <t>Кисель из яблок сушеных</t>
  </si>
  <si>
    <t>3-й день</t>
  </si>
  <si>
    <t>Каша молочная пшеничная</t>
  </si>
  <si>
    <t>Чай с молоком</t>
  </si>
  <si>
    <t>Биточки мясные</t>
  </si>
  <si>
    <t>Картофельное пюре</t>
  </si>
  <si>
    <t>Свекла тушеная</t>
  </si>
  <si>
    <t>Хлеб пшеничный</t>
  </si>
  <si>
    <t>Гренки с сыром</t>
  </si>
  <si>
    <t>4-й день</t>
  </si>
  <si>
    <t>Суп рисовый на пастеризованном молоке</t>
  </si>
  <si>
    <t>Суп картофельный из рыбных консервов</t>
  </si>
  <si>
    <t>Жаркое по домашнему</t>
  </si>
  <si>
    <t>Вареники ленивые со сметаной</t>
  </si>
  <si>
    <t>Кофейный напиток</t>
  </si>
  <si>
    <t>ясли</t>
  </si>
  <si>
    <t>сад</t>
  </si>
  <si>
    <t>Чай с сахаром</t>
  </si>
  <si>
    <t>30/5/4,3</t>
  </si>
  <si>
    <t>40/5/6,4</t>
  </si>
  <si>
    <t>Сок фркутовый яблочный</t>
  </si>
  <si>
    <t>Бефстроганов с гречневым гарниром</t>
  </si>
  <si>
    <t>67/130</t>
  </si>
  <si>
    <t>79/150</t>
  </si>
  <si>
    <t>30/5</t>
  </si>
  <si>
    <t>40/5</t>
  </si>
  <si>
    <t>200/25</t>
  </si>
  <si>
    <t>250/25</t>
  </si>
  <si>
    <t>Ватрушка с творогом</t>
  </si>
  <si>
    <t>Какао на молоке с сахаром</t>
  </si>
  <si>
    <t>Рассольник домашний с кипяченой сметаной</t>
  </si>
  <si>
    <t>Чай с сахаром и лимоном</t>
  </si>
  <si>
    <t>Суп из овощей на мясном бульоне с кипяченой сметаной</t>
  </si>
  <si>
    <t>Омлет с зеленым горошком</t>
  </si>
  <si>
    <t>Икра кабачковая</t>
  </si>
  <si>
    <t>5-й день</t>
  </si>
  <si>
    <t>Каша геркулесовая на пастеризованном молоке</t>
  </si>
  <si>
    <t>Тефтели в томатном соусе</t>
  </si>
  <si>
    <t>Макаронные изделия</t>
  </si>
  <si>
    <t>6-й день</t>
  </si>
  <si>
    <t>Апельсин</t>
  </si>
  <si>
    <t>Суп картофельный с клецками на курином бульоне с кипяченой сметаной</t>
  </si>
  <si>
    <t>Котлеты рыбные в томатном соусе</t>
  </si>
  <si>
    <t>7-й день</t>
  </si>
  <si>
    <t>Яблоко</t>
  </si>
  <si>
    <t>Плов из отварной говядины</t>
  </si>
  <si>
    <t>Пудинг творожный запеченный</t>
  </si>
  <si>
    <t>8-й день</t>
  </si>
  <si>
    <t>9-й день</t>
  </si>
  <si>
    <t>Печень говяжья по строгоновски в томатном соусе</t>
  </si>
  <si>
    <t>10-й день</t>
  </si>
  <si>
    <t>Плов фруктовый</t>
  </si>
  <si>
    <t xml:space="preserve">Всего за 10 дней </t>
  </si>
  <si>
    <t>Яйцо вареное</t>
  </si>
  <si>
    <t>Овощи тушеные с 1/2 яйца</t>
  </si>
  <si>
    <t>Пряники</t>
  </si>
  <si>
    <t>Овощное рагу</t>
  </si>
  <si>
    <t>Пирог с повидлом</t>
  </si>
  <si>
    <t>Суп с гречневой крупой</t>
  </si>
  <si>
    <t>Борщ с капустой и картофелем на мясном бульоне с кипяченой сметаной</t>
  </si>
  <si>
    <t>Каша перловая на молоке</t>
  </si>
  <si>
    <t>Суп гороховый с гренками</t>
  </si>
  <si>
    <t>Сосиска отварная</t>
  </si>
  <si>
    <t xml:space="preserve">Овощи тушеные </t>
  </si>
  <si>
    <t>Вермишель отварная с маслом</t>
  </si>
  <si>
    <t>Каша пшенная на пастеризованном молоке жидкая</t>
  </si>
  <si>
    <t>Каша сборная молочная</t>
  </si>
  <si>
    <t>Суп лапша с курицей</t>
  </si>
  <si>
    <t>Гуляш из говядины</t>
  </si>
  <si>
    <t xml:space="preserve">Отварной картофель </t>
  </si>
  <si>
    <t>Сельдь слабосоленый</t>
  </si>
  <si>
    <t>Кефир</t>
  </si>
  <si>
    <t>СОГЛАСОВАНО</t>
  </si>
  <si>
    <t>УТВЕРЖДАЮ</t>
  </si>
  <si>
    <t xml:space="preserve">ПЕРСПЕКТИВНОЕ 10-ти ДНЕВНОЕ МЕНЮ </t>
  </si>
  <si>
    <t>с 1,5 до 7 лет</t>
  </si>
  <si>
    <t>Шницель из говядины</t>
  </si>
  <si>
    <t>Помидоры свежие</t>
  </si>
  <si>
    <t>Омлет натуральный</t>
  </si>
  <si>
    <t>100</t>
  </si>
  <si>
    <t>Сок яблочный</t>
  </si>
  <si>
    <t>150/50</t>
  </si>
  <si>
    <t>Пудинг творожный запеченный с соусом</t>
  </si>
  <si>
    <t>187,5/62,5</t>
  </si>
  <si>
    <t>Каша манная молочная вязкая</t>
  </si>
  <si>
    <t xml:space="preserve">Борщ с капустой и картофелем </t>
  </si>
  <si>
    <t>Яблоко свежее</t>
  </si>
  <si>
    <t>250/31,25</t>
  </si>
  <si>
    <t>Огурцы свежие</t>
  </si>
  <si>
    <t>Кисель из свежих плодов</t>
  </si>
  <si>
    <t>Ватрушка с фруктовым фаршем</t>
  </si>
  <si>
    <t>70</t>
  </si>
  <si>
    <t>Ряженка</t>
  </si>
  <si>
    <t>Суп гречневый молочный</t>
  </si>
  <si>
    <t>Напиток витаминизированный</t>
  </si>
  <si>
    <t>Рассольник ленинградский</t>
  </si>
  <si>
    <t>Птица отварная</t>
  </si>
  <si>
    <t>Макаронные изделия отварные</t>
  </si>
  <si>
    <t>Молоко кипяченое</t>
  </si>
  <si>
    <t>Каша овсяная из "Геркулеса" жидкая</t>
  </si>
  <si>
    <t>Сок виноградный</t>
  </si>
  <si>
    <t>Суп-лапша домашняя</t>
  </si>
  <si>
    <t>Плов из отварной птицы</t>
  </si>
  <si>
    <t>Компот из свежих плодов</t>
  </si>
  <si>
    <t>Печенье (кондитерские изделия)</t>
  </si>
  <si>
    <t>Йогурт</t>
  </si>
  <si>
    <t>Суп молочный с макаронными изделиями</t>
  </si>
  <si>
    <t>Суп крестьянский с крупой</t>
  </si>
  <si>
    <t>Рагу из овощей</t>
  </si>
  <si>
    <t>Суп пшенный на пастеризованном молоке</t>
  </si>
  <si>
    <t>Свеольник с кипяченой сметаной</t>
  </si>
  <si>
    <t>Колбаса вареная отварная</t>
  </si>
  <si>
    <t>Оладьи с повидлом</t>
  </si>
  <si>
    <t>Каша рисовая на пастеризованном молоке</t>
  </si>
  <si>
    <t>Сок апельсиновый</t>
  </si>
  <si>
    <t>Суп из рыбных консервов</t>
  </si>
  <si>
    <t>Какао на пастеризованном молоке</t>
  </si>
  <si>
    <t>Суп с кукурузной крупой</t>
  </si>
  <si>
    <t>Борщь со свежей капустой и кипяченой сметаной</t>
  </si>
  <si>
    <t>Тефтели с рисом</t>
  </si>
  <si>
    <t>Суп с клецками с кипяченой сметаной</t>
  </si>
  <si>
    <t>Голубцы ленивые</t>
  </si>
  <si>
    <t>Картофель отварной</t>
  </si>
  <si>
    <t>Суп из овощей</t>
  </si>
  <si>
    <t>Котлета рыбная любитльские</t>
  </si>
  <si>
    <t>Каша пшеничная вязкая</t>
  </si>
  <si>
    <t>Плов из сухофруктов</t>
  </si>
  <si>
    <t>ряженка</t>
  </si>
  <si>
    <t xml:space="preserve">муниципального бюджетного дошкольного образовательного учреждения Верхнеобливского детского сада «Искорка» </t>
  </si>
  <si>
    <t>Ведущий специалист-эксперт</t>
  </si>
  <si>
    <t>/А.Ю. Пивоварова/</t>
  </si>
  <si>
    <t>Заведующий МБДОУ Верхнеобливским детским садом «Искорка»</t>
  </si>
  <si>
    <t xml:space="preserve"> /Н.А.Елисеева/</t>
  </si>
  <si>
    <t>Летне-осенний период 2014 года</t>
  </si>
  <si>
    <t>зимне-весенний сезон 2014-2015 года</t>
  </si>
  <si>
    <t>Свекольник  с кипяченой сметаной</t>
  </si>
  <si>
    <t>Пряник</t>
  </si>
  <si>
    <t>Пюре из моркови или свёклы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</si>
</sst>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7"/>
  <sheetViews>
    <sheetView tabSelected="1" view="pageBreakPreview" zoomScaleSheetLayoutView="100" zoomScalePageLayoutView="0" workbookViewId="0" topLeftCell="A190">
      <selection activeCell="B180" sqref="B180"/>
    </sheetView>
  </sheetViews>
  <sheetFormatPr defaultColWidth="9.00390625" defaultRowHeight="12.75"/>
  <cols>
    <col min="1" max="1" width="5.375" style="23" customWidth="1"/>
    <col min="2" max="2" width="31.125" style="23" customWidth="1"/>
    <col min="3" max="10" width="8.75390625" style="31" customWidth="1"/>
    <col min="11" max="12" width="10.75390625" style="31" customWidth="1"/>
    <col min="13" max="16384" width="9.125" style="23" customWidth="1"/>
  </cols>
  <sheetData>
    <row r="1" spans="1:12" ht="15.75">
      <c r="A1" s="41" t="s">
        <v>0</v>
      </c>
      <c r="B1" s="41"/>
      <c r="C1" s="42" t="s">
        <v>1</v>
      </c>
      <c r="D1" s="42"/>
      <c r="E1" s="42" t="s">
        <v>2</v>
      </c>
      <c r="F1" s="42"/>
      <c r="G1" s="42" t="s">
        <v>3</v>
      </c>
      <c r="H1" s="42"/>
      <c r="I1" s="42" t="s">
        <v>4</v>
      </c>
      <c r="J1" s="42"/>
      <c r="K1" s="42" t="s">
        <v>5</v>
      </c>
      <c r="L1" s="42"/>
    </row>
    <row r="2" spans="1:12" ht="16.5" customHeight="1">
      <c r="A2" s="41"/>
      <c r="B2" s="41"/>
      <c r="C2" s="24" t="s">
        <v>41</v>
      </c>
      <c r="D2" s="24" t="s">
        <v>42</v>
      </c>
      <c r="E2" s="24" t="s">
        <v>41</v>
      </c>
      <c r="F2" s="24" t="s">
        <v>42</v>
      </c>
      <c r="G2" s="24" t="s">
        <v>41</v>
      </c>
      <c r="H2" s="24" t="s">
        <v>42</v>
      </c>
      <c r="I2" s="24" t="s">
        <v>41</v>
      </c>
      <c r="J2" s="24" t="s">
        <v>42</v>
      </c>
      <c r="K2" s="24" t="s">
        <v>41</v>
      </c>
      <c r="L2" s="24" t="s">
        <v>42</v>
      </c>
    </row>
    <row r="3" spans="1:12" ht="15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1.5" customHeight="1">
      <c r="A4" s="1">
        <v>1</v>
      </c>
      <c r="B4" s="20" t="s">
        <v>7</v>
      </c>
      <c r="C4" s="2">
        <v>200</v>
      </c>
      <c r="D4" s="2">
        <v>250</v>
      </c>
      <c r="E4" s="5">
        <f>5.69</f>
        <v>5.69</v>
      </c>
      <c r="F4" s="5">
        <f>250*5.69/200</f>
        <v>7.1125</v>
      </c>
      <c r="G4" s="5">
        <v>6.9</v>
      </c>
      <c r="H4" s="5">
        <f>250*G4/200</f>
        <v>8.625</v>
      </c>
      <c r="I4" s="5">
        <v>28.96</v>
      </c>
      <c r="J4" s="5">
        <f>250*I4/200</f>
        <v>36.2</v>
      </c>
      <c r="K4" s="5">
        <v>161.5</v>
      </c>
      <c r="L4" s="5">
        <f>250*K4/200</f>
        <v>201.875</v>
      </c>
    </row>
    <row r="5" spans="1:12" ht="15.75">
      <c r="A5" s="1">
        <v>2</v>
      </c>
      <c r="B5" s="1" t="s">
        <v>43</v>
      </c>
      <c r="C5" s="2">
        <v>180</v>
      </c>
      <c r="D5" s="2">
        <v>200</v>
      </c>
      <c r="E5" s="5">
        <v>4.28</v>
      </c>
      <c r="F5" s="5">
        <f>250*E5/200</f>
        <v>5.35</v>
      </c>
      <c r="G5" s="5">
        <v>4.8</v>
      </c>
      <c r="H5" s="5">
        <f>250*G5/200</f>
        <v>6</v>
      </c>
      <c r="I5" s="5">
        <v>22</v>
      </c>
      <c r="J5" s="5">
        <f>250*I5/200</f>
        <v>27.5</v>
      </c>
      <c r="K5" s="5">
        <v>143.7</v>
      </c>
      <c r="L5" s="5">
        <f>250*K5/200</f>
        <v>179.625</v>
      </c>
    </row>
    <row r="6" spans="1:12" ht="18" customHeight="1">
      <c r="A6" s="1">
        <v>3</v>
      </c>
      <c r="B6" s="1" t="s">
        <v>8</v>
      </c>
      <c r="C6" s="2" t="s">
        <v>44</v>
      </c>
      <c r="D6" s="2" t="s">
        <v>45</v>
      </c>
      <c r="E6" s="5">
        <v>6.1</v>
      </c>
      <c r="F6" s="5">
        <v>12.8</v>
      </c>
      <c r="G6" s="5">
        <v>14.6</v>
      </c>
      <c r="H6" s="5">
        <v>19.6</v>
      </c>
      <c r="I6" s="5">
        <v>6.7</v>
      </c>
      <c r="J6" s="5">
        <v>7</v>
      </c>
      <c r="K6" s="5">
        <v>164</v>
      </c>
      <c r="L6" s="5">
        <v>204</v>
      </c>
    </row>
    <row r="7" spans="1:12" ht="15.75">
      <c r="A7" s="40" t="s">
        <v>9</v>
      </c>
      <c r="B7" s="40"/>
      <c r="C7" s="40"/>
      <c r="D7" s="40"/>
      <c r="E7" s="3">
        <f>SUM(E4:E6)</f>
        <v>16.07</v>
      </c>
      <c r="F7" s="6">
        <f aca="true" t="shared" si="0" ref="F7:L7">250*E7/200</f>
        <v>20.0875</v>
      </c>
      <c r="G7" s="6">
        <f t="shared" si="0"/>
        <v>25.109375</v>
      </c>
      <c r="H7" s="6">
        <f t="shared" si="0"/>
        <v>31.38671875</v>
      </c>
      <c r="I7" s="6">
        <f t="shared" si="0"/>
        <v>39.2333984375</v>
      </c>
      <c r="J7" s="6">
        <f t="shared" si="0"/>
        <v>49.041748046875</v>
      </c>
      <c r="K7" s="6">
        <f t="shared" si="0"/>
        <v>61.30218505859375</v>
      </c>
      <c r="L7" s="6">
        <f t="shared" si="0"/>
        <v>76.62773132324219</v>
      </c>
    </row>
    <row r="8" spans="1:12" ht="15.75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>
      <c r="A9" s="1">
        <v>1</v>
      </c>
      <c r="B9" s="1" t="s">
        <v>46</v>
      </c>
      <c r="C9" s="2">
        <v>100</v>
      </c>
      <c r="D9" s="2">
        <v>100</v>
      </c>
      <c r="E9" s="5">
        <f>0.4*100/150</f>
        <v>0.26666666666666666</v>
      </c>
      <c r="F9" s="5">
        <f>0.4*100/150</f>
        <v>0.26666666666666666</v>
      </c>
      <c r="G9" s="5"/>
      <c r="H9" s="5"/>
      <c r="I9" s="5">
        <f>9.7*100/150</f>
        <v>6.466666666666666</v>
      </c>
      <c r="J9" s="5">
        <f>9.7*100/150</f>
        <v>6.466666666666666</v>
      </c>
      <c r="K9" s="5">
        <f>50*100/150</f>
        <v>33.333333333333336</v>
      </c>
      <c r="L9" s="5">
        <f>50*100/150</f>
        <v>33.333333333333336</v>
      </c>
    </row>
    <row r="10" spans="1:12" ht="15.75">
      <c r="A10" s="40" t="s">
        <v>9</v>
      </c>
      <c r="B10" s="40"/>
      <c r="C10" s="40"/>
      <c r="D10" s="40"/>
      <c r="E10" s="6">
        <f>SUM(E9)</f>
        <v>0.26666666666666666</v>
      </c>
      <c r="F10" s="6">
        <f aca="true" t="shared" si="1" ref="F10:L10">SUM(F9)</f>
        <v>0.26666666666666666</v>
      </c>
      <c r="G10" s="6">
        <f t="shared" si="1"/>
        <v>0</v>
      </c>
      <c r="H10" s="6">
        <f t="shared" si="1"/>
        <v>0</v>
      </c>
      <c r="I10" s="6">
        <f t="shared" si="1"/>
        <v>6.466666666666666</v>
      </c>
      <c r="J10" s="6">
        <f t="shared" si="1"/>
        <v>6.466666666666666</v>
      </c>
      <c r="K10" s="6">
        <f t="shared" si="1"/>
        <v>33.333333333333336</v>
      </c>
      <c r="L10" s="6">
        <f t="shared" si="1"/>
        <v>33.333333333333336</v>
      </c>
    </row>
    <row r="11" spans="1:12" ht="15.75">
      <c r="A11" s="44" t="s">
        <v>11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32.25" customHeight="1">
      <c r="A12" s="1">
        <v>1</v>
      </c>
      <c r="B12" s="1" t="s">
        <v>12</v>
      </c>
      <c r="C12" s="2">
        <v>200</v>
      </c>
      <c r="D12" s="2">
        <v>250</v>
      </c>
      <c r="E12" s="5">
        <v>2.58</v>
      </c>
      <c r="F12" s="5">
        <f>250*E12/200</f>
        <v>3.225</v>
      </c>
      <c r="G12" s="5">
        <v>7.82</v>
      </c>
      <c r="H12" s="5">
        <f>250*G12/200</f>
        <v>9.775</v>
      </c>
      <c r="I12" s="5">
        <v>9.12</v>
      </c>
      <c r="J12" s="5">
        <f>250*I12/200</f>
        <v>11.4</v>
      </c>
      <c r="K12" s="5">
        <v>114.35</v>
      </c>
      <c r="L12" s="5">
        <f>250*K12/200</f>
        <v>142.9375</v>
      </c>
    </row>
    <row r="13" spans="1:12" ht="31.5">
      <c r="A13" s="1">
        <v>2</v>
      </c>
      <c r="B13" s="20" t="s">
        <v>47</v>
      </c>
      <c r="C13" s="2" t="s">
        <v>48</v>
      </c>
      <c r="D13" s="2" t="s">
        <v>49</v>
      </c>
      <c r="E13" s="5">
        <v>11.1</v>
      </c>
      <c r="F13" s="5">
        <f>250*E13/200</f>
        <v>13.875</v>
      </c>
      <c r="G13" s="5">
        <v>9.5</v>
      </c>
      <c r="H13" s="5">
        <f>250*G13/200</f>
        <v>11.875</v>
      </c>
      <c r="I13" s="5">
        <v>16.04</v>
      </c>
      <c r="J13" s="5">
        <f>250*I13/200</f>
        <v>20.05</v>
      </c>
      <c r="K13" s="5">
        <v>226</v>
      </c>
      <c r="L13" s="5">
        <f>250*K13/200</f>
        <v>282.5</v>
      </c>
    </row>
    <row r="14" spans="1:12" ht="15.75">
      <c r="A14" s="1">
        <v>3</v>
      </c>
      <c r="B14" s="1" t="s">
        <v>13</v>
      </c>
      <c r="C14" s="2">
        <v>30</v>
      </c>
      <c r="D14" s="2">
        <v>50</v>
      </c>
      <c r="E14" s="5"/>
      <c r="F14" s="5"/>
      <c r="G14" s="5"/>
      <c r="H14" s="5"/>
      <c r="I14" s="5">
        <v>1.5</v>
      </c>
      <c r="J14" s="5">
        <f>250*I14/200</f>
        <v>1.875</v>
      </c>
      <c r="K14" s="5">
        <v>5.2</v>
      </c>
      <c r="L14" s="5">
        <v>7.5</v>
      </c>
    </row>
    <row r="15" spans="1:12" ht="15.75">
      <c r="A15" s="1">
        <v>4</v>
      </c>
      <c r="B15" s="1" t="s">
        <v>14</v>
      </c>
      <c r="C15" s="2">
        <v>180</v>
      </c>
      <c r="D15" s="2">
        <v>200</v>
      </c>
      <c r="E15" s="5">
        <f>180*0.54/200</f>
        <v>0.486</v>
      </c>
      <c r="F15" s="5">
        <v>0.54</v>
      </c>
      <c r="G15" s="5"/>
      <c r="H15" s="5"/>
      <c r="I15" s="5">
        <f>180*J15/200</f>
        <v>25.065</v>
      </c>
      <c r="J15" s="5">
        <v>27.85</v>
      </c>
      <c r="K15" s="5">
        <f>180*L15/200</f>
        <v>96.93</v>
      </c>
      <c r="L15" s="5">
        <v>107.7</v>
      </c>
    </row>
    <row r="16" spans="1:12" ht="15.75">
      <c r="A16" s="1">
        <v>5</v>
      </c>
      <c r="B16" s="1" t="s">
        <v>15</v>
      </c>
      <c r="C16" s="2">
        <v>40</v>
      </c>
      <c r="D16" s="2">
        <v>50</v>
      </c>
      <c r="E16" s="5">
        <f>C16*2.81/60</f>
        <v>1.8733333333333335</v>
      </c>
      <c r="F16" s="5">
        <f>D16*2.81/60</f>
        <v>2.341666666666667</v>
      </c>
      <c r="G16" s="5">
        <f>C16*0.44/60</f>
        <v>0.29333333333333333</v>
      </c>
      <c r="H16" s="5">
        <f>D16*0.44/60</f>
        <v>0.36666666666666664</v>
      </c>
      <c r="I16" s="5">
        <f>C16*23.52/60</f>
        <v>15.68</v>
      </c>
      <c r="J16" s="5">
        <f>D16*23.52/60</f>
        <v>19.6</v>
      </c>
      <c r="K16" s="5">
        <f>C16*111.56/60</f>
        <v>74.37333333333332</v>
      </c>
      <c r="L16" s="5">
        <f>D16*111.56/60</f>
        <v>92.96666666666667</v>
      </c>
    </row>
    <row r="17" spans="1:12" ht="15.75">
      <c r="A17" s="40" t="s">
        <v>9</v>
      </c>
      <c r="B17" s="40"/>
      <c r="C17" s="40"/>
      <c r="D17" s="40"/>
      <c r="E17" s="6">
        <f>SUM(E12:E16)</f>
        <v>16.039333333333335</v>
      </c>
      <c r="F17" s="6">
        <f>SUM(F12:F16)</f>
        <v>19.98166666666667</v>
      </c>
      <c r="G17" s="6">
        <f>SUM(G12:G16)</f>
        <v>17.613333333333333</v>
      </c>
      <c r="H17" s="6">
        <f>250*G17/200</f>
        <v>22.016666666666666</v>
      </c>
      <c r="I17" s="6">
        <f>SUM(I12:I16)</f>
        <v>67.405</v>
      </c>
      <c r="J17" s="6">
        <f>250*I17/200</f>
        <v>84.25625</v>
      </c>
      <c r="K17" s="6">
        <f>SUM(K12:K16)</f>
        <v>516.8533333333334</v>
      </c>
      <c r="L17" s="6">
        <f>250*K17/200</f>
        <v>646.0666666666667</v>
      </c>
    </row>
    <row r="18" spans="1:12" ht="15.75">
      <c r="A18" s="43" t="s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.75">
      <c r="A19" s="1">
        <v>1</v>
      </c>
      <c r="B19" s="1" t="s">
        <v>34</v>
      </c>
      <c r="C19" s="2">
        <v>120</v>
      </c>
      <c r="D19" s="2">
        <v>140</v>
      </c>
      <c r="E19" s="5">
        <f>C19*15.6/100</f>
        <v>18.72</v>
      </c>
      <c r="F19" s="5">
        <f>D19*15.6/100</f>
        <v>21.84</v>
      </c>
      <c r="G19" s="5">
        <f>C19*15.9/100</f>
        <v>19.08</v>
      </c>
      <c r="H19" s="5">
        <f>D19*15.9/100</f>
        <v>22.26</v>
      </c>
      <c r="I19" s="5">
        <f>C19*58.8/100</f>
        <v>70.56</v>
      </c>
      <c r="J19" s="5">
        <f>D19*58.8/100</f>
        <v>82.32</v>
      </c>
      <c r="K19" s="5">
        <v>490.2</v>
      </c>
      <c r="L19" s="5">
        <f>D19*440.8/100</f>
        <v>617.12</v>
      </c>
    </row>
    <row r="20" spans="1:12" ht="15.75">
      <c r="A20" s="1">
        <v>2</v>
      </c>
      <c r="B20" s="1" t="s">
        <v>97</v>
      </c>
      <c r="C20" s="2">
        <v>180</v>
      </c>
      <c r="D20" s="2">
        <v>200</v>
      </c>
      <c r="E20" s="5">
        <f>2.8*$C$20/100</f>
        <v>5.039999999999999</v>
      </c>
      <c r="F20" s="5">
        <f>2.8*$D$20/100</f>
        <v>5.6</v>
      </c>
      <c r="G20" s="5">
        <f>2.5*$C$20/100</f>
        <v>4.5</v>
      </c>
      <c r="H20" s="5">
        <f>2.5*$D$20/100</f>
        <v>5</v>
      </c>
      <c r="I20" s="5">
        <f>4*$C$20/100</f>
        <v>7.2</v>
      </c>
      <c r="J20" s="5">
        <f>4*$D$20/100</f>
        <v>8</v>
      </c>
      <c r="K20" s="5">
        <f>50*$C$20/100</f>
        <v>90</v>
      </c>
      <c r="L20" s="5">
        <f>50*$D$20/100</f>
        <v>100</v>
      </c>
    </row>
    <row r="21" spans="1:12" ht="15.75">
      <c r="A21" s="40" t="s">
        <v>9</v>
      </c>
      <c r="B21" s="40"/>
      <c r="C21" s="40"/>
      <c r="D21" s="40"/>
      <c r="E21" s="6">
        <f>SUM(E19:E20)</f>
        <v>23.759999999999998</v>
      </c>
      <c r="F21" s="6">
        <f aca="true" t="shared" si="2" ref="F21:L21">SUM(F19:F20)</f>
        <v>27.439999999999998</v>
      </c>
      <c r="G21" s="6">
        <f t="shared" si="2"/>
        <v>23.58</v>
      </c>
      <c r="H21" s="6">
        <f t="shared" si="2"/>
        <v>27.26</v>
      </c>
      <c r="I21" s="6">
        <f t="shared" si="2"/>
        <v>77.76</v>
      </c>
      <c r="J21" s="6">
        <f t="shared" si="2"/>
        <v>90.32</v>
      </c>
      <c r="K21" s="6">
        <f t="shared" si="2"/>
        <v>580.2</v>
      </c>
      <c r="L21" s="6">
        <f t="shared" si="2"/>
        <v>717.12</v>
      </c>
    </row>
    <row r="22" spans="1:12" ht="15.75">
      <c r="A22" s="38" t="s">
        <v>18</v>
      </c>
      <c r="B22" s="38"/>
      <c r="C22" s="38"/>
      <c r="D22" s="38"/>
      <c r="E22" s="9">
        <f>E7+E10+E17+E21</f>
        <v>56.136</v>
      </c>
      <c r="F22" s="9">
        <f aca="true" t="shared" si="3" ref="F22:L22">F7+F10+F17+F21</f>
        <v>67.77583333333334</v>
      </c>
      <c r="G22" s="9">
        <f t="shared" si="3"/>
        <v>66.30270833333333</v>
      </c>
      <c r="H22" s="9">
        <f t="shared" si="3"/>
        <v>80.66338541666667</v>
      </c>
      <c r="I22" s="9">
        <f t="shared" si="3"/>
        <v>190.86506510416666</v>
      </c>
      <c r="J22" s="9">
        <f t="shared" si="3"/>
        <v>230.08466471354166</v>
      </c>
      <c r="K22" s="9">
        <f t="shared" si="3"/>
        <v>1191.6888517252605</v>
      </c>
      <c r="L22" s="9">
        <f t="shared" si="3"/>
        <v>1473.1477313232422</v>
      </c>
    </row>
    <row r="23" spans="1:12" ht="15.75">
      <c r="A23" s="41" t="s">
        <v>19</v>
      </c>
      <c r="B23" s="41"/>
      <c r="C23" s="42" t="s">
        <v>1</v>
      </c>
      <c r="D23" s="42"/>
      <c r="E23" s="42" t="s">
        <v>2</v>
      </c>
      <c r="F23" s="42"/>
      <c r="G23" s="42" t="s">
        <v>3</v>
      </c>
      <c r="H23" s="42"/>
      <c r="I23" s="42" t="s">
        <v>4</v>
      </c>
      <c r="J23" s="42"/>
      <c r="K23" s="42" t="s">
        <v>5</v>
      </c>
      <c r="L23" s="42"/>
    </row>
    <row r="24" spans="1:12" ht="15.75" customHeight="1">
      <c r="A24" s="41"/>
      <c r="B24" s="41"/>
      <c r="C24" s="24" t="s">
        <v>41</v>
      </c>
      <c r="D24" s="24" t="s">
        <v>42</v>
      </c>
      <c r="E24" s="24" t="s">
        <v>41</v>
      </c>
      <c r="F24" s="24" t="s">
        <v>42</v>
      </c>
      <c r="G24" s="24" t="s">
        <v>41</v>
      </c>
      <c r="H24" s="24" t="s">
        <v>42</v>
      </c>
      <c r="I24" s="24" t="s">
        <v>41</v>
      </c>
      <c r="J24" s="24" t="s">
        <v>42</v>
      </c>
      <c r="K24" s="24" t="s">
        <v>41</v>
      </c>
      <c r="L24" s="24" t="s">
        <v>42</v>
      </c>
    </row>
    <row r="25" spans="1:12" ht="15.75">
      <c r="A25" s="4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47.25">
      <c r="A26" s="1">
        <v>1</v>
      </c>
      <c r="B26" s="20" t="s">
        <v>20</v>
      </c>
      <c r="C26" s="2">
        <v>200</v>
      </c>
      <c r="D26" s="2">
        <v>250</v>
      </c>
      <c r="E26" s="5">
        <v>6.05</v>
      </c>
      <c r="F26" s="5">
        <f>250*E26/200</f>
        <v>7.5625</v>
      </c>
      <c r="G26" s="5">
        <v>6.31</v>
      </c>
      <c r="H26" s="5">
        <f>250*G26/200</f>
        <v>7.8875</v>
      </c>
      <c r="I26" s="5">
        <v>23.44</v>
      </c>
      <c r="J26" s="5">
        <f>250*I26/200</f>
        <v>29.3</v>
      </c>
      <c r="K26" s="5">
        <v>170.24</v>
      </c>
      <c r="L26" s="5">
        <f>250*K26/200</f>
        <v>212.8</v>
      </c>
    </row>
    <row r="27" spans="1:12" ht="31.5">
      <c r="A27" s="1">
        <v>2</v>
      </c>
      <c r="B27" s="1" t="s">
        <v>17</v>
      </c>
      <c r="C27" s="2">
        <v>180</v>
      </c>
      <c r="D27" s="2">
        <v>200</v>
      </c>
      <c r="E27" s="5">
        <v>4.01</v>
      </c>
      <c r="F27" s="5">
        <f>250*E27/200</f>
        <v>5.0125</v>
      </c>
      <c r="G27" s="5">
        <v>4</v>
      </c>
      <c r="H27" s="5">
        <f>250*G27/200</f>
        <v>5</v>
      </c>
      <c r="I27" s="5">
        <v>21.07</v>
      </c>
      <c r="J27" s="5">
        <f>250*I27/200</f>
        <v>26.3375</v>
      </c>
      <c r="K27" s="5">
        <v>132.75</v>
      </c>
      <c r="L27" s="5">
        <f>250*K27/200</f>
        <v>165.9375</v>
      </c>
    </row>
    <row r="28" spans="1:12" ht="15.75">
      <c r="A28" s="1">
        <v>3</v>
      </c>
      <c r="B28" s="1" t="s">
        <v>21</v>
      </c>
      <c r="C28" s="7" t="s">
        <v>50</v>
      </c>
      <c r="D28" s="2" t="s">
        <v>51</v>
      </c>
      <c r="E28" s="5">
        <f>30*2.16/40</f>
        <v>1.6200000000000003</v>
      </c>
      <c r="F28" s="5">
        <v>2.16</v>
      </c>
      <c r="G28" s="5">
        <f>30*7.58/40</f>
        <v>5.6850000000000005</v>
      </c>
      <c r="H28" s="5">
        <v>7.58</v>
      </c>
      <c r="I28" s="5">
        <f>30*15.99/40</f>
        <v>11.9925</v>
      </c>
      <c r="J28" s="5">
        <v>15.99</v>
      </c>
      <c r="K28" s="5">
        <f>150.64*30/40</f>
        <v>112.97999999999999</v>
      </c>
      <c r="L28" s="5">
        <v>150.64</v>
      </c>
    </row>
    <row r="29" spans="1:12" ht="15.75">
      <c r="A29" s="40" t="s">
        <v>9</v>
      </c>
      <c r="B29" s="40"/>
      <c r="C29" s="40"/>
      <c r="D29" s="40"/>
      <c r="E29" s="6">
        <f>SUM(E26:E28)</f>
        <v>11.68</v>
      </c>
      <c r="F29" s="6">
        <v>12.66</v>
      </c>
      <c r="G29" s="6">
        <f>SUM(G26:G28)</f>
        <v>15.995</v>
      </c>
      <c r="H29" s="6">
        <v>17.89</v>
      </c>
      <c r="I29" s="6">
        <f>SUM(I26:I28)</f>
        <v>56.502500000000005</v>
      </c>
      <c r="J29" s="6">
        <v>60.5</v>
      </c>
      <c r="K29" s="6">
        <f>SUM(K26:K28)</f>
        <v>415.97</v>
      </c>
      <c r="L29" s="6">
        <v>453.63</v>
      </c>
    </row>
    <row r="30" spans="1:12" ht="15.75">
      <c r="A30" s="44" t="s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.75">
      <c r="A31" s="1">
        <v>1</v>
      </c>
      <c r="B31" s="1" t="s">
        <v>22</v>
      </c>
      <c r="C31" s="2">
        <v>100</v>
      </c>
      <c r="D31" s="2">
        <v>150</v>
      </c>
      <c r="E31" s="5">
        <f>F31*100/D31</f>
        <v>0.4266666666666667</v>
      </c>
      <c r="F31" s="2">
        <v>0.64</v>
      </c>
      <c r="G31" s="2"/>
      <c r="H31" s="2"/>
      <c r="I31" s="5">
        <f>J31*100/D31</f>
        <v>10.08</v>
      </c>
      <c r="J31" s="2">
        <v>15.12</v>
      </c>
      <c r="K31" s="5">
        <f>L31*C31/D31</f>
        <v>43.14666666666667</v>
      </c>
      <c r="L31" s="2">
        <v>64.72</v>
      </c>
    </row>
    <row r="32" spans="1:12" ht="15.75">
      <c r="A32" s="40" t="s">
        <v>9</v>
      </c>
      <c r="B32" s="40"/>
      <c r="C32" s="40"/>
      <c r="D32" s="40"/>
      <c r="E32" s="6">
        <f>SUM(E31)</f>
        <v>0.4266666666666667</v>
      </c>
      <c r="F32" s="3">
        <v>0.64</v>
      </c>
      <c r="G32" s="3"/>
      <c r="H32" s="3"/>
      <c r="I32" s="6">
        <f>SUM(I31)</f>
        <v>10.08</v>
      </c>
      <c r="J32" s="3">
        <v>15.12</v>
      </c>
      <c r="K32" s="6">
        <f>SUM(K31)</f>
        <v>43.14666666666667</v>
      </c>
      <c r="L32" s="3">
        <v>64.71</v>
      </c>
    </row>
    <row r="33" spans="1:12" ht="15.75">
      <c r="A33" s="44" t="s">
        <v>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31.5">
      <c r="A34" s="1">
        <v>1</v>
      </c>
      <c r="B34" s="20" t="s">
        <v>23</v>
      </c>
      <c r="C34" s="2" t="s">
        <v>52</v>
      </c>
      <c r="D34" s="2" t="s">
        <v>53</v>
      </c>
      <c r="E34" s="5">
        <v>7.44</v>
      </c>
      <c r="F34" s="5">
        <f>E34*200/250</f>
        <v>5.952</v>
      </c>
      <c r="G34" s="5">
        <v>5.85</v>
      </c>
      <c r="H34" s="5">
        <f>G34*200/250</f>
        <v>4.68</v>
      </c>
      <c r="I34" s="5">
        <v>14.33</v>
      </c>
      <c r="J34" s="5">
        <f>I34*200/250</f>
        <v>11.464</v>
      </c>
      <c r="K34" s="5">
        <v>139.73</v>
      </c>
      <c r="L34" s="5">
        <f>K34*200/250</f>
        <v>111.78399999999999</v>
      </c>
    </row>
    <row r="35" spans="1:12" ht="18" customHeight="1">
      <c r="A35" s="1">
        <v>2</v>
      </c>
      <c r="B35" s="1" t="s">
        <v>24</v>
      </c>
      <c r="C35" s="2">
        <v>100</v>
      </c>
      <c r="D35" s="2">
        <v>120</v>
      </c>
      <c r="E35" s="5">
        <f>F35*C35/D35</f>
        <v>10.358333333333333</v>
      </c>
      <c r="F35" s="5">
        <v>12.43</v>
      </c>
      <c r="G35" s="5">
        <f>H35*C35/D35</f>
        <v>5.725</v>
      </c>
      <c r="H35" s="5">
        <v>6.87</v>
      </c>
      <c r="I35" s="5">
        <f>J35*C35/D35</f>
        <v>5.341666666666667</v>
      </c>
      <c r="J35" s="5">
        <v>6.41</v>
      </c>
      <c r="K35" s="5">
        <f>L35*C35/D35</f>
        <v>115.175</v>
      </c>
      <c r="L35" s="5">
        <v>138.21</v>
      </c>
    </row>
    <row r="36" spans="1:12" ht="15.75">
      <c r="A36" s="1">
        <v>3</v>
      </c>
      <c r="B36" s="1" t="s">
        <v>25</v>
      </c>
      <c r="C36" s="2">
        <v>150</v>
      </c>
      <c r="D36" s="2">
        <v>180</v>
      </c>
      <c r="E36" s="5">
        <f>$C$36*2.59/100</f>
        <v>3.885</v>
      </c>
      <c r="F36" s="5">
        <f>$D$36*2.59/100</f>
        <v>4.662</v>
      </c>
      <c r="G36" s="5">
        <f>$C$36*3.39/100</f>
        <v>5.085</v>
      </c>
      <c r="H36" s="5">
        <f>$D$36*3.39/100</f>
        <v>6.102</v>
      </c>
      <c r="I36" s="5">
        <f>$C$36*26.85/100</f>
        <v>40.275</v>
      </c>
      <c r="J36" s="5">
        <f>$D$36*26.85/100</f>
        <v>48.33</v>
      </c>
      <c r="K36" s="5">
        <f>$C$36*150.12/100</f>
        <v>225.18</v>
      </c>
      <c r="L36" s="5">
        <f>$D$36*150.12/100</f>
        <v>270.216</v>
      </c>
    </row>
    <row r="37" spans="1:12" ht="15.75">
      <c r="A37" s="1">
        <v>4</v>
      </c>
      <c r="B37" s="1" t="s">
        <v>13</v>
      </c>
      <c r="C37" s="2">
        <v>30</v>
      </c>
      <c r="D37" s="2">
        <v>50</v>
      </c>
      <c r="E37" s="5"/>
      <c r="F37" s="5"/>
      <c r="G37" s="5"/>
      <c r="H37" s="5"/>
      <c r="I37" s="5">
        <v>1.5</v>
      </c>
      <c r="J37" s="5">
        <f>250*I37/200</f>
        <v>1.875</v>
      </c>
      <c r="K37" s="5">
        <v>5.2</v>
      </c>
      <c r="L37" s="5">
        <v>7.5</v>
      </c>
    </row>
    <row r="38" spans="1:12" ht="15.75">
      <c r="A38" s="1">
        <v>5</v>
      </c>
      <c r="B38" s="1" t="s">
        <v>26</v>
      </c>
      <c r="C38" s="2">
        <v>180</v>
      </c>
      <c r="D38" s="2">
        <v>200</v>
      </c>
      <c r="E38" s="5">
        <f>F38*$C$38/200</f>
        <v>0.243</v>
      </c>
      <c r="F38" s="5">
        <v>0.27</v>
      </c>
      <c r="G38" s="5"/>
      <c r="H38" s="5"/>
      <c r="I38" s="5">
        <f>30.82*$C$38/200</f>
        <v>27.738000000000003</v>
      </c>
      <c r="J38" s="5">
        <f>30.82*$C$38/200</f>
        <v>27.738000000000003</v>
      </c>
      <c r="K38" s="5"/>
      <c r="L38" s="5">
        <v>124.17</v>
      </c>
    </row>
    <row r="39" spans="1:12" ht="15.75">
      <c r="A39" s="1">
        <v>6</v>
      </c>
      <c r="B39" s="1" t="s">
        <v>15</v>
      </c>
      <c r="C39" s="2">
        <v>40</v>
      </c>
      <c r="D39" s="2">
        <v>50</v>
      </c>
      <c r="E39" s="5">
        <f>C39*2.81/60</f>
        <v>1.8733333333333335</v>
      </c>
      <c r="F39" s="5">
        <f>D39*2.81/60</f>
        <v>2.341666666666667</v>
      </c>
      <c r="G39" s="5">
        <f>C39*0.44/60</f>
        <v>0.29333333333333333</v>
      </c>
      <c r="H39" s="5">
        <f>D39*0.44/60</f>
        <v>0.36666666666666664</v>
      </c>
      <c r="I39" s="5">
        <f>C39*23.52/60</f>
        <v>15.68</v>
      </c>
      <c r="J39" s="5">
        <f>D39*23.52/60</f>
        <v>19.6</v>
      </c>
      <c r="K39" s="5">
        <f>C39*111.56/60</f>
        <v>74.37333333333332</v>
      </c>
      <c r="L39" s="5">
        <f>D39*111.56/60</f>
        <v>92.96666666666667</v>
      </c>
    </row>
    <row r="40" spans="1:12" ht="15.75">
      <c r="A40" s="40" t="s">
        <v>9</v>
      </c>
      <c r="B40" s="40"/>
      <c r="C40" s="40"/>
      <c r="D40" s="40"/>
      <c r="E40" s="6">
        <f>SUM(E34:E39)</f>
        <v>23.799666666666663</v>
      </c>
      <c r="F40" s="6">
        <v>25.54</v>
      </c>
      <c r="G40" s="6">
        <f>SUM(G34:G39)</f>
        <v>16.953333333333333</v>
      </c>
      <c r="H40" s="6">
        <v>16.55</v>
      </c>
      <c r="I40" s="6">
        <f>SUM(I34:I39)</f>
        <v>104.86466666666666</v>
      </c>
      <c r="J40" s="6">
        <v>103.43</v>
      </c>
      <c r="K40" s="6">
        <f>SUM(K34:K39)</f>
        <v>559.6583333333333</v>
      </c>
      <c r="L40" s="6">
        <f>SUM(L34:L39)</f>
        <v>744.8466666666667</v>
      </c>
    </row>
    <row r="41" spans="1:12" ht="15.75">
      <c r="A41" s="43" t="s">
        <v>16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5.75">
      <c r="A42" s="1">
        <v>1</v>
      </c>
      <c r="B42" s="1" t="s">
        <v>54</v>
      </c>
      <c r="C42" s="2">
        <v>70</v>
      </c>
      <c r="D42" s="7">
        <v>80</v>
      </c>
      <c r="E42" s="5">
        <f>3.69*$C$42/60</f>
        <v>4.305000000000001</v>
      </c>
      <c r="F42" s="5">
        <f>3.69*$D$42/60</f>
        <v>4.92</v>
      </c>
      <c r="G42" s="5">
        <f>3.73*$C$42/60</f>
        <v>4.3516666666666675</v>
      </c>
      <c r="H42" s="5">
        <f>3.73*$D$42/60</f>
        <v>4.973333333333333</v>
      </c>
      <c r="I42" s="5">
        <f>10.42*$C$42/60</f>
        <v>12.156666666666666</v>
      </c>
      <c r="J42" s="5">
        <f>10.42*$D$42/60</f>
        <v>13.893333333333334</v>
      </c>
      <c r="K42" s="5">
        <f>116.7*$C$42/60</f>
        <v>136.15</v>
      </c>
      <c r="L42" s="5">
        <f>116.7*$D$42/60</f>
        <v>155.6</v>
      </c>
    </row>
    <row r="43" spans="1:12" ht="15.75">
      <c r="A43" s="1">
        <v>2</v>
      </c>
      <c r="B43" s="1" t="s">
        <v>55</v>
      </c>
      <c r="C43" s="2">
        <v>180</v>
      </c>
      <c r="D43" s="2">
        <v>200</v>
      </c>
      <c r="E43" s="5">
        <f>F43*$C$43/$D$43</f>
        <v>4.59</v>
      </c>
      <c r="F43" s="5">
        <v>5.1</v>
      </c>
      <c r="G43" s="5">
        <f>H43*$C$43/$D$43</f>
        <v>5.76</v>
      </c>
      <c r="H43" s="5">
        <v>6.4</v>
      </c>
      <c r="I43" s="5">
        <f>J43*$C$43/$D$43</f>
        <v>12.06</v>
      </c>
      <c r="J43" s="5">
        <v>13.4</v>
      </c>
      <c r="K43" s="5">
        <f>L43*$C$43/$D$43</f>
        <v>147.51</v>
      </c>
      <c r="L43" s="5">
        <v>163.9</v>
      </c>
    </row>
    <row r="44" spans="1:12" ht="15.75">
      <c r="A44" s="40" t="s">
        <v>9</v>
      </c>
      <c r="B44" s="40"/>
      <c r="C44" s="40"/>
      <c r="D44" s="40"/>
      <c r="E44" s="6">
        <f aca="true" t="shared" si="4" ref="E44:L44">SUM(E42:E43)</f>
        <v>8.895</v>
      </c>
      <c r="F44" s="6">
        <f t="shared" si="4"/>
        <v>10.02</v>
      </c>
      <c r="G44" s="6">
        <f t="shared" si="4"/>
        <v>10.111666666666668</v>
      </c>
      <c r="H44" s="6">
        <f t="shared" si="4"/>
        <v>11.373333333333333</v>
      </c>
      <c r="I44" s="6">
        <f t="shared" si="4"/>
        <v>24.21666666666667</v>
      </c>
      <c r="J44" s="6">
        <f t="shared" si="4"/>
        <v>27.293333333333337</v>
      </c>
      <c r="K44" s="6">
        <f t="shared" si="4"/>
        <v>283.65999999999997</v>
      </c>
      <c r="L44" s="6">
        <f t="shared" si="4"/>
        <v>319.5</v>
      </c>
    </row>
    <row r="45" spans="1:12" ht="15.75">
      <c r="A45" s="38" t="s">
        <v>18</v>
      </c>
      <c r="B45" s="38"/>
      <c r="C45" s="38"/>
      <c r="D45" s="38"/>
      <c r="E45" s="9">
        <f>E29+E32+E40+E44</f>
        <v>44.80133333333333</v>
      </c>
      <c r="F45" s="9">
        <f aca="true" t="shared" si="5" ref="F45:L45">F29+F32+F40+F44</f>
        <v>48.86</v>
      </c>
      <c r="G45" s="9">
        <f t="shared" si="5"/>
        <v>43.06</v>
      </c>
      <c r="H45" s="9">
        <f t="shared" si="5"/>
        <v>45.81333333333333</v>
      </c>
      <c r="I45" s="9">
        <f t="shared" si="5"/>
        <v>195.66383333333334</v>
      </c>
      <c r="J45" s="9">
        <f t="shared" si="5"/>
        <v>206.34333333333336</v>
      </c>
      <c r="K45" s="9">
        <f t="shared" si="5"/>
        <v>1302.435</v>
      </c>
      <c r="L45" s="9">
        <f t="shared" si="5"/>
        <v>1582.6866666666667</v>
      </c>
    </row>
    <row r="46" spans="1:12" ht="15.75">
      <c r="A46" s="41" t="s">
        <v>27</v>
      </c>
      <c r="B46" s="41"/>
      <c r="C46" s="42" t="s">
        <v>1</v>
      </c>
      <c r="D46" s="42"/>
      <c r="E46" s="42" t="s">
        <v>2</v>
      </c>
      <c r="F46" s="42"/>
      <c r="G46" s="42" t="s">
        <v>3</v>
      </c>
      <c r="H46" s="42"/>
      <c r="I46" s="42" t="s">
        <v>4</v>
      </c>
      <c r="J46" s="42"/>
      <c r="K46" s="42" t="s">
        <v>5</v>
      </c>
      <c r="L46" s="42"/>
    </row>
    <row r="47" spans="1:12" ht="15.75" customHeight="1">
      <c r="A47" s="41"/>
      <c r="B47" s="41"/>
      <c r="C47" s="24" t="s">
        <v>41</v>
      </c>
      <c r="D47" s="24" t="s">
        <v>42</v>
      </c>
      <c r="E47" s="24" t="s">
        <v>41</v>
      </c>
      <c r="F47" s="24" t="s">
        <v>42</v>
      </c>
      <c r="G47" s="24" t="s">
        <v>41</v>
      </c>
      <c r="H47" s="24" t="s">
        <v>42</v>
      </c>
      <c r="I47" s="24" t="s">
        <v>41</v>
      </c>
      <c r="J47" s="24" t="s">
        <v>42</v>
      </c>
      <c r="K47" s="24" t="s">
        <v>41</v>
      </c>
      <c r="L47" s="24" t="s">
        <v>42</v>
      </c>
    </row>
    <row r="48" spans="1:12" ht="15.75">
      <c r="A48" s="44" t="s">
        <v>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5.75">
      <c r="A49" s="1">
        <v>1</v>
      </c>
      <c r="B49" s="1" t="s">
        <v>28</v>
      </c>
      <c r="C49" s="2">
        <v>200</v>
      </c>
      <c r="D49" s="2">
        <v>250</v>
      </c>
      <c r="E49" s="5">
        <v>7.44</v>
      </c>
      <c r="F49" s="5">
        <f>7.44*$D$49/$C$49</f>
        <v>9.3</v>
      </c>
      <c r="G49" s="5">
        <f>8.07</f>
        <v>8.07</v>
      </c>
      <c r="H49" s="5">
        <f>8.07*$D$49/$C$49</f>
        <v>10.0875</v>
      </c>
      <c r="I49" s="5">
        <f>35.28</f>
        <v>35.28</v>
      </c>
      <c r="J49" s="5">
        <f>35.28*$D$49/$C$49</f>
        <v>44.1</v>
      </c>
      <c r="K49" s="5">
        <f>243.92</f>
        <v>243.92</v>
      </c>
      <c r="L49" s="5">
        <f>243.92*$D$49/$C$49</f>
        <v>304.9</v>
      </c>
    </row>
    <row r="50" spans="1:12" ht="15.75">
      <c r="A50" s="1">
        <v>2</v>
      </c>
      <c r="B50" s="1" t="s">
        <v>29</v>
      </c>
      <c r="C50" s="2">
        <v>180</v>
      </c>
      <c r="D50" s="2">
        <v>200</v>
      </c>
      <c r="E50" s="5">
        <f>F50*$C$50/$D$50</f>
        <v>2.511</v>
      </c>
      <c r="F50" s="5">
        <v>2.79</v>
      </c>
      <c r="G50" s="5">
        <f>H50*$C$50/$D$50</f>
        <v>2.295</v>
      </c>
      <c r="H50" s="5">
        <v>2.55</v>
      </c>
      <c r="I50" s="5">
        <f>J50*$C$50/$D$50</f>
        <v>11.943</v>
      </c>
      <c r="J50" s="5">
        <v>13.27</v>
      </c>
      <c r="K50" s="5">
        <v>70.53</v>
      </c>
      <c r="L50" s="5">
        <v>87.25</v>
      </c>
    </row>
    <row r="51" spans="1:12" ht="15.75">
      <c r="A51" s="1">
        <v>3</v>
      </c>
      <c r="B51" s="1" t="s">
        <v>21</v>
      </c>
      <c r="C51" s="7" t="s">
        <v>50</v>
      </c>
      <c r="D51" s="2" t="s">
        <v>51</v>
      </c>
      <c r="E51" s="5">
        <f>F51*$C$50/$D$50</f>
        <v>1.944</v>
      </c>
      <c r="F51" s="5">
        <v>2.16</v>
      </c>
      <c r="G51" s="5">
        <f>H51*$C$50/$D$50</f>
        <v>6.822</v>
      </c>
      <c r="H51" s="5">
        <v>7.58</v>
      </c>
      <c r="I51" s="5">
        <f>J51*$C$50/$D$50</f>
        <v>14.390999999999998</v>
      </c>
      <c r="J51" s="5">
        <v>15.99</v>
      </c>
      <c r="K51" s="5">
        <f>L51*$C$50/$D$50</f>
        <v>135.576</v>
      </c>
      <c r="L51" s="5">
        <v>150.64</v>
      </c>
    </row>
    <row r="52" spans="1:12" ht="15.75">
      <c r="A52" s="40" t="s">
        <v>9</v>
      </c>
      <c r="B52" s="40"/>
      <c r="C52" s="40"/>
      <c r="D52" s="40"/>
      <c r="E52" s="6">
        <f>SUM(E49:E51)</f>
        <v>11.895</v>
      </c>
      <c r="F52" s="6">
        <f>SUM(F49:F51)</f>
        <v>14.25</v>
      </c>
      <c r="G52" s="6">
        <f aca="true" t="shared" si="6" ref="G52:L52">SUM(G49:G51)</f>
        <v>17.187</v>
      </c>
      <c r="H52" s="6">
        <f t="shared" si="6"/>
        <v>20.2175</v>
      </c>
      <c r="I52" s="6">
        <f t="shared" si="6"/>
        <v>61.614</v>
      </c>
      <c r="J52" s="6">
        <f t="shared" si="6"/>
        <v>73.36</v>
      </c>
      <c r="K52" s="6">
        <f t="shared" si="6"/>
        <v>450.02599999999995</v>
      </c>
      <c r="L52" s="6">
        <f t="shared" si="6"/>
        <v>542.79</v>
      </c>
    </row>
    <row r="53" spans="1:12" ht="15.75">
      <c r="A53" s="44" t="s">
        <v>10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.75">
      <c r="A54" s="1">
        <v>1</v>
      </c>
      <c r="B54" s="1" t="s">
        <v>66</v>
      </c>
      <c r="C54" s="2">
        <v>100</v>
      </c>
      <c r="D54" s="22">
        <v>150</v>
      </c>
      <c r="E54" s="5">
        <v>0.64</v>
      </c>
      <c r="F54" s="21">
        <f>E54*$D$126/$C$126</f>
        <v>0.96</v>
      </c>
      <c r="G54" s="21"/>
      <c r="H54" s="21"/>
      <c r="I54" s="5">
        <v>15.02</v>
      </c>
      <c r="J54" s="21">
        <f>I54*$D$126/$C$126</f>
        <v>22.53</v>
      </c>
      <c r="K54" s="5">
        <v>64.77</v>
      </c>
      <c r="L54" s="21">
        <f>K54*$D$126/$C$126</f>
        <v>97.155</v>
      </c>
    </row>
    <row r="55" spans="1:12" ht="15.75">
      <c r="A55" s="40" t="s">
        <v>9</v>
      </c>
      <c r="B55" s="40"/>
      <c r="C55" s="40"/>
      <c r="D55" s="40"/>
      <c r="E55" s="6">
        <f>SUM(E54)</f>
        <v>0.64</v>
      </c>
      <c r="F55" s="6">
        <f aca="true" t="shared" si="7" ref="F55:L55">SUM(F54)</f>
        <v>0.96</v>
      </c>
      <c r="G55" s="6">
        <f t="shared" si="7"/>
        <v>0</v>
      </c>
      <c r="H55" s="6">
        <f t="shared" si="7"/>
        <v>0</v>
      </c>
      <c r="I55" s="6">
        <f t="shared" si="7"/>
        <v>15.02</v>
      </c>
      <c r="J55" s="6">
        <f t="shared" si="7"/>
        <v>22.53</v>
      </c>
      <c r="K55" s="6">
        <f t="shared" si="7"/>
        <v>64.77</v>
      </c>
      <c r="L55" s="6">
        <f t="shared" si="7"/>
        <v>97.155</v>
      </c>
    </row>
    <row r="56" spans="1:12" ht="15.75">
      <c r="A56" s="44" t="s">
        <v>11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31.5">
      <c r="A57" s="1">
        <v>1</v>
      </c>
      <c r="B57" s="20" t="s">
        <v>56</v>
      </c>
      <c r="C57" s="8">
        <v>200</v>
      </c>
      <c r="D57" s="8">
        <v>250</v>
      </c>
      <c r="E57" s="10">
        <v>4.02</v>
      </c>
      <c r="F57" s="10">
        <f>E57+$D$57/$C$57</f>
        <v>5.27</v>
      </c>
      <c r="G57" s="10">
        <v>9.04</v>
      </c>
      <c r="H57" s="10">
        <f>G57+$D$57/$C$57</f>
        <v>10.29</v>
      </c>
      <c r="I57" s="10">
        <v>25.9</v>
      </c>
      <c r="J57" s="10">
        <f>I57+$D$57/$C$57</f>
        <v>27.15</v>
      </c>
      <c r="K57" s="10">
        <v>100.3</v>
      </c>
      <c r="L57" s="10">
        <v>120.93</v>
      </c>
    </row>
    <row r="58" spans="1:12" ht="15.75">
      <c r="A58" s="1">
        <v>2</v>
      </c>
      <c r="B58" s="1" t="s">
        <v>30</v>
      </c>
      <c r="C58" s="2">
        <v>70</v>
      </c>
      <c r="D58" s="8">
        <v>80</v>
      </c>
      <c r="E58" s="5">
        <v>10.68</v>
      </c>
      <c r="F58" s="21">
        <f>E58*$D$58/$C$58</f>
        <v>12.205714285714285</v>
      </c>
      <c r="G58" s="5">
        <v>11.72</v>
      </c>
      <c r="H58" s="21">
        <f>G58*$D$58/$C$58</f>
        <v>13.394285714285715</v>
      </c>
      <c r="I58" s="5">
        <v>5.74</v>
      </c>
      <c r="J58" s="21">
        <f>I58*$D$58/$C$58</f>
        <v>6.5600000000000005</v>
      </c>
      <c r="K58" s="5">
        <v>176.75</v>
      </c>
      <c r="L58" s="21">
        <f>K58*$D$58/$C$58</f>
        <v>202</v>
      </c>
    </row>
    <row r="59" spans="1:12" ht="15.75">
      <c r="A59" s="1">
        <v>3</v>
      </c>
      <c r="B59" s="1" t="s">
        <v>31</v>
      </c>
      <c r="C59" s="2">
        <v>150</v>
      </c>
      <c r="D59" s="2">
        <v>180</v>
      </c>
      <c r="E59" s="5">
        <v>3.19</v>
      </c>
      <c r="F59" s="21">
        <f>E59*$D$59/$C$59</f>
        <v>3.8280000000000003</v>
      </c>
      <c r="G59" s="5">
        <v>6.06</v>
      </c>
      <c r="H59" s="21">
        <f>G59*$D$59/$C$59</f>
        <v>7.271999999999999</v>
      </c>
      <c r="I59" s="5">
        <v>23.29</v>
      </c>
      <c r="J59" s="21">
        <f>I59*$D$59/$C$59</f>
        <v>27.948</v>
      </c>
      <c r="K59" s="5">
        <v>160.45</v>
      </c>
      <c r="L59" s="21">
        <f>K59*$D$59/$C$59</f>
        <v>192.53999999999996</v>
      </c>
    </row>
    <row r="60" spans="1:12" ht="15.75">
      <c r="A60" s="1">
        <v>4</v>
      </c>
      <c r="B60" s="1" t="s">
        <v>32</v>
      </c>
      <c r="C60" s="2">
        <v>40</v>
      </c>
      <c r="D60" s="2">
        <v>60</v>
      </c>
      <c r="E60" s="5">
        <f>F60*$C$60/50</f>
        <v>0.84</v>
      </c>
      <c r="F60" s="5">
        <f>0.7*$D$60/$C$60</f>
        <v>1.05</v>
      </c>
      <c r="G60" s="5">
        <f>5.04*$C$60/50</f>
        <v>4.032</v>
      </c>
      <c r="H60" s="5">
        <f>5.04*$D$60/$C$60</f>
        <v>7.56</v>
      </c>
      <c r="I60" s="5">
        <f>4.61*$C$60/50</f>
        <v>3.688</v>
      </c>
      <c r="J60" s="5">
        <f>4.61*$D$60/$C$60</f>
        <v>6.915000000000001</v>
      </c>
      <c r="K60" s="5">
        <f>66.64*$C$60/50</f>
        <v>53.312</v>
      </c>
      <c r="L60" s="5">
        <f>66.64*$D$60/$C$60</f>
        <v>99.96000000000001</v>
      </c>
    </row>
    <row r="61" spans="1:12" ht="15.75">
      <c r="A61" s="1">
        <v>5</v>
      </c>
      <c r="B61" s="1" t="s">
        <v>14</v>
      </c>
      <c r="C61" s="2">
        <v>180</v>
      </c>
      <c r="D61" s="2">
        <v>200</v>
      </c>
      <c r="E61" s="5">
        <f>180*0.54/200</f>
        <v>0.486</v>
      </c>
      <c r="F61" s="5">
        <v>0.54</v>
      </c>
      <c r="G61" s="5"/>
      <c r="H61" s="5"/>
      <c r="I61" s="5">
        <f>180*J61/200</f>
        <v>25.065</v>
      </c>
      <c r="J61" s="5">
        <v>27.85</v>
      </c>
      <c r="K61" s="5">
        <f>180*L61/200</f>
        <v>96.93</v>
      </c>
      <c r="L61" s="5">
        <v>107.7</v>
      </c>
    </row>
    <row r="62" spans="1:12" ht="15.75">
      <c r="A62" s="1">
        <v>6</v>
      </c>
      <c r="B62" s="1" t="s">
        <v>33</v>
      </c>
      <c r="C62" s="2">
        <v>40</v>
      </c>
      <c r="D62" s="2">
        <v>60</v>
      </c>
      <c r="E62" s="5">
        <v>4.78</v>
      </c>
      <c r="F62" s="21">
        <f>E62*$C$61/$D$61</f>
        <v>4.3020000000000005</v>
      </c>
      <c r="G62" s="5">
        <v>1.96</v>
      </c>
      <c r="H62" s="21">
        <f>G62*$C$61/$D$61</f>
        <v>1.764</v>
      </c>
      <c r="I62" s="5">
        <v>35.86</v>
      </c>
      <c r="J62" s="21">
        <f>I62*$C$61/$D$61</f>
        <v>32.274</v>
      </c>
      <c r="K62" s="5">
        <f>L62*$C$222/$D$222</f>
        <v>104.26666666666667</v>
      </c>
      <c r="L62" s="21">
        <v>156.4</v>
      </c>
    </row>
    <row r="63" spans="1:12" ht="15.75">
      <c r="A63" s="40" t="s">
        <v>9</v>
      </c>
      <c r="B63" s="40"/>
      <c r="C63" s="40"/>
      <c r="D63" s="40"/>
      <c r="E63" s="6">
        <f>SUM(E57:E62)</f>
        <v>23.996000000000002</v>
      </c>
      <c r="F63" s="6">
        <f aca="true" t="shared" si="8" ref="F63:L63">SUM(F57:F62)</f>
        <v>27.19571428571428</v>
      </c>
      <c r="G63" s="6">
        <f t="shared" si="8"/>
        <v>32.812</v>
      </c>
      <c r="H63" s="6">
        <f t="shared" si="8"/>
        <v>40.28028571428572</v>
      </c>
      <c r="I63" s="6">
        <f t="shared" si="8"/>
        <v>119.543</v>
      </c>
      <c r="J63" s="6">
        <f t="shared" si="8"/>
        <v>128.697</v>
      </c>
      <c r="K63" s="6">
        <f t="shared" si="8"/>
        <v>692.0086666666666</v>
      </c>
      <c r="L63" s="6">
        <f t="shared" si="8"/>
        <v>879.5300000000001</v>
      </c>
    </row>
    <row r="64" spans="1:12" ht="15.75">
      <c r="A64" s="43" t="s">
        <v>16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31.5">
      <c r="A65" s="1">
        <v>1</v>
      </c>
      <c r="B65" s="20" t="s">
        <v>39</v>
      </c>
      <c r="C65" s="2">
        <v>150</v>
      </c>
      <c r="D65" s="2">
        <v>180</v>
      </c>
      <c r="E65" s="5">
        <f>32.49*$C$65/200</f>
        <v>24.3675</v>
      </c>
      <c r="F65" s="5">
        <f>32.49*$D$65/200</f>
        <v>29.241000000000003</v>
      </c>
      <c r="G65" s="5">
        <f>9.82*$C$65/200</f>
        <v>7.365</v>
      </c>
      <c r="H65" s="5">
        <f>9.82*$D$65/200</f>
        <v>8.838000000000001</v>
      </c>
      <c r="I65" s="5">
        <f>33.22*$C$65/200</f>
        <v>24.915</v>
      </c>
      <c r="J65" s="5">
        <f>33.22*$D$65/200</f>
        <v>29.897999999999996</v>
      </c>
      <c r="K65" s="5">
        <v>230.02</v>
      </c>
      <c r="L65" s="5">
        <f>351.22*$D$65/200</f>
        <v>316.098</v>
      </c>
    </row>
    <row r="66" spans="1:12" ht="15.75">
      <c r="A66" s="1">
        <v>2</v>
      </c>
      <c r="B66" s="1" t="s">
        <v>40</v>
      </c>
      <c r="C66" s="2">
        <v>180</v>
      </c>
      <c r="D66" s="2">
        <v>200</v>
      </c>
      <c r="E66" s="5">
        <f>F66*$C$66/$D$66</f>
        <v>5.031</v>
      </c>
      <c r="F66" s="5">
        <v>5.59</v>
      </c>
      <c r="G66" s="5">
        <f>H66*$C$66/$D$66</f>
        <v>5.742000000000001</v>
      </c>
      <c r="H66" s="5">
        <v>6.38</v>
      </c>
      <c r="I66" s="5">
        <f>J66*$C$66/$D$66</f>
        <v>8.442</v>
      </c>
      <c r="J66" s="5">
        <v>9.38</v>
      </c>
      <c r="K66" s="5">
        <f>L66*$C$66/$D$66</f>
        <v>105.579</v>
      </c>
      <c r="L66" s="5">
        <v>117.31</v>
      </c>
    </row>
    <row r="67" spans="1:12" ht="15.75">
      <c r="A67" s="40" t="s">
        <v>9</v>
      </c>
      <c r="B67" s="40"/>
      <c r="C67" s="40"/>
      <c r="D67" s="40"/>
      <c r="E67" s="6">
        <f>SUM(E65:E66)</f>
        <v>29.3985</v>
      </c>
      <c r="F67" s="6">
        <f aca="true" t="shared" si="9" ref="F67:L67">SUM(F65:F66)</f>
        <v>34.831</v>
      </c>
      <c r="G67" s="6">
        <f t="shared" si="9"/>
        <v>13.107000000000001</v>
      </c>
      <c r="H67" s="6">
        <f t="shared" si="9"/>
        <v>15.218</v>
      </c>
      <c r="I67" s="6">
        <f t="shared" si="9"/>
        <v>33.357</v>
      </c>
      <c r="J67" s="6">
        <f t="shared" si="9"/>
        <v>39.278</v>
      </c>
      <c r="K67" s="6">
        <f t="shared" si="9"/>
        <v>335.599</v>
      </c>
      <c r="L67" s="6">
        <f t="shared" si="9"/>
        <v>433.408</v>
      </c>
    </row>
    <row r="68" spans="1:12" ht="15.75">
      <c r="A68" s="38" t="s">
        <v>18</v>
      </c>
      <c r="B68" s="38"/>
      <c r="C68" s="38"/>
      <c r="D68" s="38"/>
      <c r="E68" s="9">
        <f>E52+E55+E63+E67</f>
        <v>65.9295</v>
      </c>
      <c r="F68" s="9">
        <f aca="true" t="shared" si="10" ref="F68:L68">F52+F55+F63+F67</f>
        <v>77.23671428571429</v>
      </c>
      <c r="G68" s="9">
        <f t="shared" si="10"/>
        <v>63.105999999999995</v>
      </c>
      <c r="H68" s="9">
        <f t="shared" si="10"/>
        <v>75.71578571428572</v>
      </c>
      <c r="I68" s="9">
        <f t="shared" si="10"/>
        <v>229.53400000000002</v>
      </c>
      <c r="J68" s="9">
        <f t="shared" si="10"/>
        <v>263.865</v>
      </c>
      <c r="K68" s="9">
        <f t="shared" si="10"/>
        <v>1542.4036666666664</v>
      </c>
      <c r="L68" s="9">
        <f t="shared" si="10"/>
        <v>1952.8829999999998</v>
      </c>
    </row>
    <row r="69" spans="1:12" ht="15.75">
      <c r="A69" s="41" t="s">
        <v>35</v>
      </c>
      <c r="B69" s="41"/>
      <c r="C69" s="42" t="s">
        <v>1</v>
      </c>
      <c r="D69" s="42"/>
      <c r="E69" s="42" t="s">
        <v>2</v>
      </c>
      <c r="F69" s="42"/>
      <c r="G69" s="42" t="s">
        <v>3</v>
      </c>
      <c r="H69" s="42"/>
      <c r="I69" s="42" t="s">
        <v>4</v>
      </c>
      <c r="J69" s="42"/>
      <c r="K69" s="42" t="s">
        <v>5</v>
      </c>
      <c r="L69" s="42"/>
    </row>
    <row r="70" spans="1:12" ht="15.75" customHeight="1">
      <c r="A70" s="41"/>
      <c r="B70" s="41"/>
      <c r="C70" s="24" t="s">
        <v>41</v>
      </c>
      <c r="D70" s="24" t="s">
        <v>42</v>
      </c>
      <c r="E70" s="24" t="s">
        <v>41</v>
      </c>
      <c r="F70" s="24" t="s">
        <v>42</v>
      </c>
      <c r="G70" s="24" t="s">
        <v>41</v>
      </c>
      <c r="H70" s="24" t="s">
        <v>42</v>
      </c>
      <c r="I70" s="24" t="s">
        <v>41</v>
      </c>
      <c r="J70" s="24" t="s">
        <v>42</v>
      </c>
      <c r="K70" s="24" t="s">
        <v>41</v>
      </c>
      <c r="L70" s="24" t="s">
        <v>42</v>
      </c>
    </row>
    <row r="71" spans="1:12" ht="15.75">
      <c r="A71" s="44" t="s">
        <v>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31.5">
      <c r="A72" s="1">
        <v>1</v>
      </c>
      <c r="B72" s="20" t="s">
        <v>36</v>
      </c>
      <c r="C72" s="8">
        <v>200</v>
      </c>
      <c r="D72" s="8">
        <v>250</v>
      </c>
      <c r="E72" s="10">
        <v>3.19</v>
      </c>
      <c r="F72" s="16">
        <f>E72*$D$72/$C$72</f>
        <v>3.9875</v>
      </c>
      <c r="G72" s="10">
        <v>2.67</v>
      </c>
      <c r="H72" s="16">
        <f>G72*$D$72/$C$72</f>
        <v>3.3375</v>
      </c>
      <c r="I72" s="10">
        <v>28.91</v>
      </c>
      <c r="J72" s="16">
        <f>I72*$D$72/$C$72</f>
        <v>36.1375</v>
      </c>
      <c r="K72" s="10">
        <v>148.48</v>
      </c>
      <c r="L72" s="16">
        <f>K72*$D$72/$C$72</f>
        <v>185.6</v>
      </c>
    </row>
    <row r="73" spans="1:12" ht="15.75">
      <c r="A73" s="1">
        <v>2</v>
      </c>
      <c r="B73" s="1" t="s">
        <v>57</v>
      </c>
      <c r="C73" s="2">
        <v>180</v>
      </c>
      <c r="D73" s="2">
        <v>200</v>
      </c>
      <c r="E73" s="5">
        <v>4.28</v>
      </c>
      <c r="F73" s="5">
        <f>250*E73/200</f>
        <v>5.35</v>
      </c>
      <c r="G73" s="5">
        <v>4.8</v>
      </c>
      <c r="H73" s="5">
        <f>250*G73/200</f>
        <v>6</v>
      </c>
      <c r="I73" s="5">
        <v>22</v>
      </c>
      <c r="J73" s="5">
        <f>250*I73/200</f>
        <v>27.5</v>
      </c>
      <c r="K73" s="5">
        <v>143.7</v>
      </c>
      <c r="L73" s="5">
        <f>250*K73/200</f>
        <v>179.625</v>
      </c>
    </row>
    <row r="74" spans="1:12" ht="16.5" customHeight="1">
      <c r="A74" s="1">
        <v>3</v>
      </c>
      <c r="B74" s="1" t="s">
        <v>8</v>
      </c>
      <c r="C74" s="2" t="s">
        <v>44</v>
      </c>
      <c r="D74" s="2" t="s">
        <v>45</v>
      </c>
      <c r="E74" s="5">
        <v>6.1</v>
      </c>
      <c r="F74" s="5">
        <v>12.8</v>
      </c>
      <c r="G74" s="5">
        <v>14.6</v>
      </c>
      <c r="H74" s="5">
        <v>19.6</v>
      </c>
      <c r="I74" s="5">
        <v>6.7</v>
      </c>
      <c r="J74" s="5">
        <v>7</v>
      </c>
      <c r="K74" s="5">
        <v>164</v>
      </c>
      <c r="L74" s="5">
        <v>204</v>
      </c>
    </row>
    <row r="75" spans="1:12" ht="15.75">
      <c r="A75" s="40" t="s">
        <v>9</v>
      </c>
      <c r="B75" s="40"/>
      <c r="C75" s="40"/>
      <c r="D75" s="40"/>
      <c r="E75" s="6">
        <f>SUM(E72:E74)</f>
        <v>13.57</v>
      </c>
      <c r="F75" s="6">
        <f aca="true" t="shared" si="11" ref="F75:L75">SUM(F72:F74)</f>
        <v>22.1375</v>
      </c>
      <c r="G75" s="6">
        <f t="shared" si="11"/>
        <v>22.07</v>
      </c>
      <c r="H75" s="6">
        <f t="shared" si="11"/>
        <v>28.9375</v>
      </c>
      <c r="I75" s="6">
        <f t="shared" si="11"/>
        <v>57.61</v>
      </c>
      <c r="J75" s="6">
        <f t="shared" si="11"/>
        <v>70.6375</v>
      </c>
      <c r="K75" s="6">
        <f t="shared" si="11"/>
        <v>456.17999999999995</v>
      </c>
      <c r="L75" s="6">
        <f t="shared" si="11"/>
        <v>569.225</v>
      </c>
    </row>
    <row r="76" spans="1:12" ht="15.75">
      <c r="A76" s="44" t="s">
        <v>10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>
      <c r="A77" s="1">
        <v>1</v>
      </c>
      <c r="B77" s="1" t="s">
        <v>22</v>
      </c>
      <c r="C77" s="2">
        <v>100</v>
      </c>
      <c r="D77" s="2">
        <v>150</v>
      </c>
      <c r="E77" s="5">
        <f>F77*100/D77</f>
        <v>0.4266666666666667</v>
      </c>
      <c r="F77" s="5">
        <v>0.64</v>
      </c>
      <c r="G77" s="5"/>
      <c r="H77" s="5"/>
      <c r="I77" s="5">
        <f>J77*100/D77</f>
        <v>10.08</v>
      </c>
      <c r="J77" s="5">
        <v>15.12</v>
      </c>
      <c r="K77" s="5">
        <f>L77*C77/D77</f>
        <v>43.14666666666667</v>
      </c>
      <c r="L77" s="5">
        <v>64.72</v>
      </c>
    </row>
    <row r="78" spans="1:12" ht="15.75">
      <c r="A78" s="40" t="s">
        <v>9</v>
      </c>
      <c r="B78" s="40"/>
      <c r="C78" s="40"/>
      <c r="D78" s="40"/>
      <c r="E78" s="6">
        <f>SUM(E77)</f>
        <v>0.4266666666666667</v>
      </c>
      <c r="F78" s="6">
        <f aca="true" t="shared" si="12" ref="F78:L78">SUM(F77)</f>
        <v>0.64</v>
      </c>
      <c r="G78" s="6">
        <f t="shared" si="12"/>
        <v>0</v>
      </c>
      <c r="H78" s="6">
        <f t="shared" si="12"/>
        <v>0</v>
      </c>
      <c r="I78" s="6">
        <f t="shared" si="12"/>
        <v>10.08</v>
      </c>
      <c r="J78" s="6">
        <f t="shared" si="12"/>
        <v>15.12</v>
      </c>
      <c r="K78" s="6">
        <f t="shared" si="12"/>
        <v>43.14666666666667</v>
      </c>
      <c r="L78" s="6">
        <f t="shared" si="12"/>
        <v>64.72</v>
      </c>
    </row>
    <row r="79" spans="1:12" ht="15.75">
      <c r="A79" s="44" t="s">
        <v>11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47.25">
      <c r="A80" s="1">
        <v>1</v>
      </c>
      <c r="B80" s="20" t="s">
        <v>58</v>
      </c>
      <c r="C80" s="8">
        <v>200</v>
      </c>
      <c r="D80" s="8">
        <v>250</v>
      </c>
      <c r="E80" s="10">
        <v>1.54</v>
      </c>
      <c r="F80" s="10">
        <f>E80*$D$80/$C$80</f>
        <v>1.925</v>
      </c>
      <c r="G80" s="10">
        <v>4.69</v>
      </c>
      <c r="H80" s="10">
        <f>G80*$D$80/$C$80</f>
        <v>5.8625</v>
      </c>
      <c r="I80" s="10">
        <v>10.07</v>
      </c>
      <c r="J80" s="10">
        <f>I80*$D$80/$C$80</f>
        <v>12.5875</v>
      </c>
      <c r="K80" s="10">
        <v>92.19</v>
      </c>
      <c r="L80" s="10">
        <f>K80*$D$80/$C$80</f>
        <v>115.2375</v>
      </c>
    </row>
    <row r="81" spans="1:12" ht="15.75">
      <c r="A81" s="1">
        <v>2</v>
      </c>
      <c r="B81" s="1" t="s">
        <v>38</v>
      </c>
      <c r="C81" s="2">
        <v>150</v>
      </c>
      <c r="D81" s="2">
        <v>180</v>
      </c>
      <c r="E81" s="5">
        <f>24.76*$C$81/220</f>
        <v>16.881818181818183</v>
      </c>
      <c r="F81" s="5">
        <f>24.76*$D$81/220</f>
        <v>20.258181818181818</v>
      </c>
      <c r="G81" s="5">
        <f>19.98*$C$81/220</f>
        <v>13.622727272727273</v>
      </c>
      <c r="H81" s="5">
        <f>19.98*$D$81/220</f>
        <v>16.347272727272728</v>
      </c>
      <c r="I81" s="5">
        <f>28.29*$C$81/220</f>
        <v>19.288636363636364</v>
      </c>
      <c r="J81" s="5">
        <f>28.29*$D$81/220</f>
        <v>23.146363636363635</v>
      </c>
      <c r="K81" s="5">
        <v>230.3</v>
      </c>
      <c r="L81" s="5">
        <f>392.02*$D$81/220</f>
        <v>320.7436363636363</v>
      </c>
    </row>
    <row r="82" spans="1:12" ht="15.75">
      <c r="A82" s="1">
        <v>3</v>
      </c>
      <c r="B82" s="1" t="s">
        <v>13</v>
      </c>
      <c r="C82" s="2">
        <v>30</v>
      </c>
      <c r="D82" s="2">
        <v>50</v>
      </c>
      <c r="E82" s="5"/>
      <c r="F82" s="5"/>
      <c r="G82" s="5"/>
      <c r="H82" s="5"/>
      <c r="I82" s="5">
        <v>1.5</v>
      </c>
      <c r="J82" s="5">
        <f>250*I82/200</f>
        <v>1.875</v>
      </c>
      <c r="K82" s="5">
        <v>5.2</v>
      </c>
      <c r="L82" s="5">
        <v>7.5</v>
      </c>
    </row>
    <row r="83" spans="1:12" ht="15.75">
      <c r="A83" s="1">
        <v>4</v>
      </c>
      <c r="B83" s="1" t="s">
        <v>26</v>
      </c>
      <c r="C83" s="2">
        <v>180</v>
      </c>
      <c r="D83" s="2">
        <v>200</v>
      </c>
      <c r="E83" s="5">
        <f>F83*$C$38/200</f>
        <v>0.243</v>
      </c>
      <c r="F83" s="5">
        <v>0.27</v>
      </c>
      <c r="G83" s="5"/>
      <c r="H83" s="5"/>
      <c r="I83" s="5">
        <f>30.82*$C$38/200</f>
        <v>27.738000000000003</v>
      </c>
      <c r="J83" s="5">
        <f>30.82*$C$38/200</f>
        <v>27.738000000000003</v>
      </c>
      <c r="K83" s="5"/>
      <c r="L83" s="5">
        <v>124.17</v>
      </c>
    </row>
    <row r="84" spans="1:12" ht="15.75">
      <c r="A84" s="1">
        <v>5</v>
      </c>
      <c r="B84" s="1" t="s">
        <v>33</v>
      </c>
      <c r="C84" s="2">
        <v>40</v>
      </c>
      <c r="D84" s="2">
        <v>60</v>
      </c>
      <c r="E84" s="5">
        <v>4.78</v>
      </c>
      <c r="F84" s="21">
        <f>E84*$C$61/$D$61</f>
        <v>4.3020000000000005</v>
      </c>
      <c r="G84" s="5">
        <v>1.96</v>
      </c>
      <c r="H84" s="21">
        <f>G84*$C$61/$D$61</f>
        <v>1.764</v>
      </c>
      <c r="I84" s="5">
        <v>35.86</v>
      </c>
      <c r="J84" s="21">
        <f>I84*$C$61/$D$61</f>
        <v>32.274</v>
      </c>
      <c r="K84" s="5">
        <f>L84*$C$222/$D$222</f>
        <v>104.26666666666667</v>
      </c>
      <c r="L84" s="21">
        <v>156.4</v>
      </c>
    </row>
    <row r="85" spans="1:12" ht="15.75">
      <c r="A85" s="40" t="s">
        <v>9</v>
      </c>
      <c r="B85" s="40"/>
      <c r="C85" s="40"/>
      <c r="D85" s="40"/>
      <c r="E85" s="6">
        <f>SUM(E80:E84)</f>
        <v>23.44481818181818</v>
      </c>
      <c r="F85" s="6">
        <f aca="true" t="shared" si="13" ref="F85:L85">SUM(F80:F84)</f>
        <v>26.755181818181818</v>
      </c>
      <c r="G85" s="6">
        <f t="shared" si="13"/>
        <v>20.272727272727273</v>
      </c>
      <c r="H85" s="6">
        <f t="shared" si="13"/>
        <v>23.973772727272728</v>
      </c>
      <c r="I85" s="6">
        <f t="shared" si="13"/>
        <v>94.45663636363636</v>
      </c>
      <c r="J85" s="6">
        <f t="shared" si="13"/>
        <v>97.62086363636364</v>
      </c>
      <c r="K85" s="6">
        <f t="shared" si="13"/>
        <v>431.95666666666665</v>
      </c>
      <c r="L85" s="6">
        <f t="shared" si="13"/>
        <v>724.0511363636363</v>
      </c>
    </row>
    <row r="86" spans="1:12" ht="15.75">
      <c r="A86" s="43" t="s">
        <v>16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5.75">
      <c r="A87" s="1">
        <v>1</v>
      </c>
      <c r="B87" s="1" t="s">
        <v>59</v>
      </c>
      <c r="C87" s="2">
        <v>80</v>
      </c>
      <c r="D87" s="2">
        <v>100</v>
      </c>
      <c r="E87" s="5">
        <f>10.24*$C$87/150</f>
        <v>5.461333333333334</v>
      </c>
      <c r="F87" s="5">
        <f>10.24*$D$87/150</f>
        <v>6.826666666666667</v>
      </c>
      <c r="G87" s="5">
        <f>12.5*$C$87/150</f>
        <v>6.666666666666667</v>
      </c>
      <c r="H87" s="5">
        <f>12.5*$D$87/150</f>
        <v>8.333333333333334</v>
      </c>
      <c r="I87" s="5">
        <f>5*$C$87/150</f>
        <v>2.6666666666666665</v>
      </c>
      <c r="J87" s="5">
        <f>5*$D$87/150</f>
        <v>3.3333333333333335</v>
      </c>
      <c r="K87" s="5">
        <f>173.4*$C$87/150</f>
        <v>92.48</v>
      </c>
      <c r="L87" s="5">
        <f>173.4*$D$87/150</f>
        <v>115.6</v>
      </c>
    </row>
    <row r="88" spans="1:12" ht="15.75">
      <c r="A88" s="1">
        <v>2</v>
      </c>
      <c r="B88" s="1" t="s">
        <v>60</v>
      </c>
      <c r="C88" s="2">
        <v>30</v>
      </c>
      <c r="D88" s="2">
        <v>50</v>
      </c>
      <c r="E88" s="5">
        <f>1*$C$88/50</f>
        <v>0.6</v>
      </c>
      <c r="F88" s="5">
        <v>1</v>
      </c>
      <c r="G88" s="5">
        <f>7*$C$88/50</f>
        <v>4.2</v>
      </c>
      <c r="H88" s="5">
        <v>7</v>
      </c>
      <c r="I88" s="5">
        <f>7*C88/50</f>
        <v>4.2</v>
      </c>
      <c r="J88" s="5">
        <v>7</v>
      </c>
      <c r="K88" s="5">
        <f>48.5*$C$88/50</f>
        <v>29.1</v>
      </c>
      <c r="L88" s="5">
        <v>48.5</v>
      </c>
    </row>
    <row r="89" spans="1:12" ht="15.75">
      <c r="A89" s="1">
        <v>3</v>
      </c>
      <c r="B89" s="1" t="s">
        <v>40</v>
      </c>
      <c r="C89" s="2">
        <v>180</v>
      </c>
      <c r="D89" s="2">
        <v>200</v>
      </c>
      <c r="E89" s="5">
        <f>F89*$C$89/$D$89</f>
        <v>2.511</v>
      </c>
      <c r="F89" s="5">
        <v>2.79</v>
      </c>
      <c r="G89" s="5">
        <f>H89*$C$89/$D$89</f>
        <v>2.8710000000000004</v>
      </c>
      <c r="H89" s="5">
        <v>3.19</v>
      </c>
      <c r="I89" s="5">
        <f>J89*$C$89/$D$89</f>
        <v>17.739</v>
      </c>
      <c r="J89" s="5">
        <v>19.71</v>
      </c>
      <c r="K89" s="5">
        <f>L89*$C$89/$D$89</f>
        <v>106.821</v>
      </c>
      <c r="L89" s="5">
        <v>118.69</v>
      </c>
    </row>
    <row r="90" spans="1:12" ht="15.75">
      <c r="A90" s="1">
        <v>4</v>
      </c>
      <c r="B90" s="1" t="s">
        <v>33</v>
      </c>
      <c r="C90" s="2">
        <v>40</v>
      </c>
      <c r="D90" s="2">
        <v>60</v>
      </c>
      <c r="E90" s="5">
        <v>4.78</v>
      </c>
      <c r="F90" s="21">
        <f>E90*$C$61/$D$61</f>
        <v>4.3020000000000005</v>
      </c>
      <c r="G90" s="5">
        <v>1.96</v>
      </c>
      <c r="H90" s="21">
        <f>G90*$C$61/$D$61</f>
        <v>1.764</v>
      </c>
      <c r="I90" s="5">
        <v>35.86</v>
      </c>
      <c r="J90" s="21">
        <f>I90*$C$61/$D$61</f>
        <v>32.274</v>
      </c>
      <c r="K90" s="5">
        <f>L90*$C$222/$D$222</f>
        <v>104.26666666666667</v>
      </c>
      <c r="L90" s="21">
        <v>156.4</v>
      </c>
    </row>
    <row r="91" spans="1:12" ht="15.75">
      <c r="A91" s="40" t="s">
        <v>9</v>
      </c>
      <c r="B91" s="40"/>
      <c r="C91" s="40"/>
      <c r="D91" s="40"/>
      <c r="E91" s="6">
        <f>SUM(E87:E90)</f>
        <v>13.352333333333334</v>
      </c>
      <c r="F91" s="6">
        <f aca="true" t="shared" si="14" ref="F91:L91">SUM(F87:F90)</f>
        <v>14.918666666666667</v>
      </c>
      <c r="G91" s="6">
        <f t="shared" si="14"/>
        <v>15.697666666666667</v>
      </c>
      <c r="H91" s="6">
        <f t="shared" si="14"/>
        <v>20.287333333333333</v>
      </c>
      <c r="I91" s="6">
        <f t="shared" si="14"/>
        <v>60.465666666666664</v>
      </c>
      <c r="J91" s="6">
        <f t="shared" si="14"/>
        <v>62.31733333333334</v>
      </c>
      <c r="K91" s="6">
        <f t="shared" si="14"/>
        <v>332.66766666666666</v>
      </c>
      <c r="L91" s="6">
        <f t="shared" si="14"/>
        <v>439.18999999999994</v>
      </c>
    </row>
    <row r="92" spans="1:12" ht="15.75">
      <c r="A92" s="38" t="s">
        <v>18</v>
      </c>
      <c r="B92" s="38"/>
      <c r="C92" s="38"/>
      <c r="D92" s="38"/>
      <c r="E92" s="9">
        <f>E75+E78+E85+E91</f>
        <v>50.79381818181818</v>
      </c>
      <c r="F92" s="9">
        <f aca="true" t="shared" si="15" ref="F92:L92">F75+F78+F85+F91</f>
        <v>64.45134848484848</v>
      </c>
      <c r="G92" s="9">
        <f t="shared" si="15"/>
        <v>58.04039393939394</v>
      </c>
      <c r="H92" s="9">
        <f t="shared" si="15"/>
        <v>73.19860606060607</v>
      </c>
      <c r="I92" s="9">
        <f t="shared" si="15"/>
        <v>222.61230303030302</v>
      </c>
      <c r="J92" s="9">
        <f t="shared" si="15"/>
        <v>245.695696969697</v>
      </c>
      <c r="K92" s="9">
        <f t="shared" si="15"/>
        <v>1263.951</v>
      </c>
      <c r="L92" s="9">
        <f t="shared" si="15"/>
        <v>1797.1861363636363</v>
      </c>
    </row>
    <row r="93" spans="1:12" ht="15.75">
      <c r="A93" s="41" t="s">
        <v>61</v>
      </c>
      <c r="B93" s="41"/>
      <c r="C93" s="42" t="s">
        <v>1</v>
      </c>
      <c r="D93" s="42"/>
      <c r="E93" s="42" t="s">
        <v>2</v>
      </c>
      <c r="F93" s="42"/>
      <c r="G93" s="42" t="s">
        <v>3</v>
      </c>
      <c r="H93" s="42"/>
      <c r="I93" s="42" t="s">
        <v>4</v>
      </c>
      <c r="J93" s="42"/>
      <c r="K93" s="42" t="s">
        <v>5</v>
      </c>
      <c r="L93" s="42"/>
    </row>
    <row r="94" spans="1:12" ht="15.75">
      <c r="A94" s="41"/>
      <c r="B94" s="41"/>
      <c r="C94" s="24" t="s">
        <v>41</v>
      </c>
      <c r="D94" s="24" t="s">
        <v>42</v>
      </c>
      <c r="E94" s="24" t="s">
        <v>41</v>
      </c>
      <c r="F94" s="24" t="s">
        <v>42</v>
      </c>
      <c r="G94" s="24" t="s">
        <v>41</v>
      </c>
      <c r="H94" s="24" t="s">
        <v>42</v>
      </c>
      <c r="I94" s="24" t="s">
        <v>41</v>
      </c>
      <c r="J94" s="24" t="s">
        <v>42</v>
      </c>
      <c r="K94" s="24" t="s">
        <v>41</v>
      </c>
      <c r="L94" s="24" t="s">
        <v>42</v>
      </c>
    </row>
    <row r="95" spans="1:12" ht="15.75" customHeight="1">
      <c r="A95" s="39" t="s">
        <v>6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31.5">
      <c r="A96" s="1">
        <v>1</v>
      </c>
      <c r="B96" s="20" t="s">
        <v>62</v>
      </c>
      <c r="C96" s="15">
        <v>200</v>
      </c>
      <c r="D96" s="8">
        <v>250</v>
      </c>
      <c r="E96" s="10">
        <v>4.78</v>
      </c>
      <c r="F96" s="16">
        <f>E96*$D$96/$C$96</f>
        <v>5.975</v>
      </c>
      <c r="G96" s="10">
        <v>8.68</v>
      </c>
      <c r="H96" s="16">
        <f>G96*$D$96/$C$96</f>
        <v>10.85</v>
      </c>
      <c r="I96" s="10">
        <v>27.5</v>
      </c>
      <c r="J96" s="16">
        <f>I96*$D$96/$C$96</f>
        <v>34.375</v>
      </c>
      <c r="K96" s="10">
        <v>207.24</v>
      </c>
      <c r="L96" s="16">
        <f>K96*$D$96/$C$96</f>
        <v>259.05</v>
      </c>
    </row>
    <row r="97" spans="1:12" ht="15.75">
      <c r="A97" s="1">
        <v>2</v>
      </c>
      <c r="B97" s="1" t="s">
        <v>57</v>
      </c>
      <c r="C97" s="2">
        <v>180</v>
      </c>
      <c r="D97" s="2">
        <v>200</v>
      </c>
      <c r="E97" s="5">
        <v>4.28</v>
      </c>
      <c r="F97" s="5">
        <f>250*E97/200</f>
        <v>5.35</v>
      </c>
      <c r="G97" s="5">
        <v>4.8</v>
      </c>
      <c r="H97" s="5">
        <f>250*G97/200</f>
        <v>6</v>
      </c>
      <c r="I97" s="5">
        <v>22</v>
      </c>
      <c r="J97" s="5">
        <f>250*I97/200</f>
        <v>27.5</v>
      </c>
      <c r="K97" s="5">
        <v>143.7</v>
      </c>
      <c r="L97" s="5">
        <f>250*K97/200</f>
        <v>179.625</v>
      </c>
    </row>
    <row r="98" spans="1:12" ht="16.5" customHeight="1">
      <c r="A98" s="1">
        <v>3</v>
      </c>
      <c r="B98" s="1" t="s">
        <v>21</v>
      </c>
      <c r="C98" s="7" t="s">
        <v>50</v>
      </c>
      <c r="D98" s="2" t="s">
        <v>51</v>
      </c>
      <c r="E98" s="5">
        <f>F98*$C$50/$D$50</f>
        <v>1.944</v>
      </c>
      <c r="F98" s="5">
        <v>2.16</v>
      </c>
      <c r="G98" s="5">
        <f>H98*$C$50/$D$50</f>
        <v>6.822</v>
      </c>
      <c r="H98" s="5">
        <v>7.58</v>
      </c>
      <c r="I98" s="5">
        <f>J98*$C$50/$D$50</f>
        <v>14.390999999999998</v>
      </c>
      <c r="J98" s="5">
        <v>15.99</v>
      </c>
      <c r="K98" s="5">
        <f>L98*$C$50/$D$50</f>
        <v>135.576</v>
      </c>
      <c r="L98" s="5">
        <v>150.64</v>
      </c>
    </row>
    <row r="99" spans="1:12" ht="15.75" customHeight="1">
      <c r="A99" s="40" t="s">
        <v>9</v>
      </c>
      <c r="B99" s="40"/>
      <c r="C99" s="40"/>
      <c r="D99" s="40"/>
      <c r="E99" s="12">
        <f>SUM(E96:E98)</f>
        <v>11.004000000000001</v>
      </c>
      <c r="F99" s="12">
        <f aca="true" t="shared" si="16" ref="F99:L99">SUM(F96:F98)</f>
        <v>13.485</v>
      </c>
      <c r="G99" s="12">
        <f t="shared" si="16"/>
        <v>20.302</v>
      </c>
      <c r="H99" s="12">
        <f t="shared" si="16"/>
        <v>24.43</v>
      </c>
      <c r="I99" s="12">
        <f t="shared" si="16"/>
        <v>63.891</v>
      </c>
      <c r="J99" s="12">
        <f t="shared" si="16"/>
        <v>77.865</v>
      </c>
      <c r="K99" s="12">
        <f t="shared" si="16"/>
        <v>486.51599999999996</v>
      </c>
      <c r="L99" s="12">
        <f t="shared" si="16"/>
        <v>589.315</v>
      </c>
    </row>
    <row r="100" spans="1:12" ht="15.75">
      <c r="A100" s="44" t="s">
        <v>10</v>
      </c>
      <c r="B100" s="44"/>
      <c r="C100" s="44"/>
      <c r="D100" s="44"/>
      <c r="E100" s="44"/>
      <c r="F100" s="44"/>
      <c r="G100" s="44"/>
      <c r="H100" s="22"/>
      <c r="I100" s="22"/>
      <c r="J100" s="22"/>
      <c r="K100" s="22"/>
      <c r="L100" s="22"/>
    </row>
    <row r="101" spans="1:12" ht="15.75">
      <c r="A101" s="1">
        <v>1</v>
      </c>
      <c r="B101" s="1" t="s">
        <v>46</v>
      </c>
      <c r="C101" s="2">
        <v>100</v>
      </c>
      <c r="D101" s="2">
        <v>100</v>
      </c>
      <c r="E101" s="5">
        <f>0.4*100/150</f>
        <v>0.26666666666666666</v>
      </c>
      <c r="F101" s="5">
        <f>0.4*100/150</f>
        <v>0.26666666666666666</v>
      </c>
      <c r="G101" s="5"/>
      <c r="H101" s="5"/>
      <c r="I101" s="5">
        <f>9.7*100/150</f>
        <v>6.466666666666666</v>
      </c>
      <c r="J101" s="5">
        <f>9.7*100/150</f>
        <v>6.466666666666666</v>
      </c>
      <c r="K101" s="5">
        <f>50*100/150</f>
        <v>33.333333333333336</v>
      </c>
      <c r="L101" s="5">
        <f>50*100/150</f>
        <v>33.333333333333336</v>
      </c>
    </row>
    <row r="102" spans="1:12" ht="15.75" customHeight="1">
      <c r="A102" s="40" t="s">
        <v>9</v>
      </c>
      <c r="B102" s="40"/>
      <c r="C102" s="40"/>
      <c r="D102" s="40"/>
      <c r="E102" s="12">
        <f>SUM(E101)</f>
        <v>0.26666666666666666</v>
      </c>
      <c r="F102" s="12">
        <f aca="true" t="shared" si="17" ref="F102:L102">SUM(F101)</f>
        <v>0.26666666666666666</v>
      </c>
      <c r="G102" s="12"/>
      <c r="H102" s="12"/>
      <c r="I102" s="12">
        <f t="shared" si="17"/>
        <v>6.466666666666666</v>
      </c>
      <c r="J102" s="12">
        <f t="shared" si="17"/>
        <v>6.466666666666666</v>
      </c>
      <c r="K102" s="12">
        <f t="shared" si="17"/>
        <v>33.333333333333336</v>
      </c>
      <c r="L102" s="12">
        <f t="shared" si="17"/>
        <v>33.333333333333336</v>
      </c>
    </row>
    <row r="103" spans="1:12" ht="15.75" customHeight="1">
      <c r="A103" s="39" t="s">
        <v>11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31.5">
      <c r="A104" s="11">
        <v>1</v>
      </c>
      <c r="B104" s="11" t="s">
        <v>161</v>
      </c>
      <c r="C104" s="8">
        <v>200</v>
      </c>
      <c r="D104" s="15">
        <v>250</v>
      </c>
      <c r="E104" s="10">
        <v>1.54</v>
      </c>
      <c r="F104" s="16">
        <f>E104*$D$104/$C$104</f>
        <v>1.925</v>
      </c>
      <c r="G104" s="10">
        <v>5.07</v>
      </c>
      <c r="H104" s="16">
        <f>G104*$D$104/$C$104</f>
        <v>6.3375</v>
      </c>
      <c r="I104" s="10">
        <v>8.04</v>
      </c>
      <c r="J104" s="16">
        <f>I104*$D$104/$C$104</f>
        <v>10.049999999999999</v>
      </c>
      <c r="K104" s="10">
        <v>83.33</v>
      </c>
      <c r="L104" s="16">
        <f>K104*$D$104/$C$104</f>
        <v>104.1625</v>
      </c>
    </row>
    <row r="105" spans="1:12" ht="15.75">
      <c r="A105" s="11">
        <v>2</v>
      </c>
      <c r="B105" s="11" t="s">
        <v>63</v>
      </c>
      <c r="C105" s="8">
        <v>90</v>
      </c>
      <c r="D105" s="15">
        <v>100</v>
      </c>
      <c r="E105" s="16">
        <f>9.16*$C$105/100</f>
        <v>8.244</v>
      </c>
      <c r="F105" s="10">
        <v>9.16</v>
      </c>
      <c r="G105" s="16">
        <f>H105*$C$105/100</f>
        <v>1.008</v>
      </c>
      <c r="H105" s="10">
        <v>1.12</v>
      </c>
      <c r="I105" s="16">
        <f>J105*$C$105/100</f>
        <v>12.177</v>
      </c>
      <c r="J105" s="10">
        <v>13.53</v>
      </c>
      <c r="K105" s="16">
        <f>L105*$C$105/100</f>
        <v>176.52599999999998</v>
      </c>
      <c r="L105" s="10">
        <v>196.14</v>
      </c>
    </row>
    <row r="106" spans="1:12" ht="15.75">
      <c r="A106" s="11">
        <v>3</v>
      </c>
      <c r="B106" s="11" t="s">
        <v>64</v>
      </c>
      <c r="C106" s="8">
        <v>150</v>
      </c>
      <c r="D106" s="15">
        <v>180</v>
      </c>
      <c r="E106" s="10">
        <v>3.68</v>
      </c>
      <c r="F106" s="16">
        <f>E106*$D$106/$C$106</f>
        <v>4.4159999999999995</v>
      </c>
      <c r="G106" s="10">
        <v>3.53</v>
      </c>
      <c r="H106" s="16">
        <f>G106*$D$106/$C$106</f>
        <v>4.236</v>
      </c>
      <c r="I106" s="10">
        <v>23.55</v>
      </c>
      <c r="J106" s="16">
        <f>I106*$D$106/$C$106</f>
        <v>28.26</v>
      </c>
      <c r="K106" s="10">
        <v>188.4</v>
      </c>
      <c r="L106" s="16">
        <f>K106*$D$106/$C$106</f>
        <v>226.08</v>
      </c>
    </row>
    <row r="107" spans="1:12" ht="15.75">
      <c r="A107" s="1">
        <v>4</v>
      </c>
      <c r="B107" s="1" t="s">
        <v>13</v>
      </c>
      <c r="C107" s="2">
        <v>30</v>
      </c>
      <c r="D107" s="2">
        <v>50</v>
      </c>
      <c r="E107" s="5"/>
      <c r="F107" s="5"/>
      <c r="G107" s="5"/>
      <c r="H107" s="5"/>
      <c r="I107" s="5">
        <v>1.5</v>
      </c>
      <c r="J107" s="5">
        <f>250*I107/200</f>
        <v>1.875</v>
      </c>
      <c r="K107" s="5">
        <v>5.2</v>
      </c>
      <c r="L107" s="5">
        <v>7.5</v>
      </c>
    </row>
    <row r="108" spans="1:12" ht="15.75">
      <c r="A108" s="1">
        <v>5</v>
      </c>
      <c r="B108" s="1" t="s">
        <v>14</v>
      </c>
      <c r="C108" s="2">
        <v>180</v>
      </c>
      <c r="D108" s="2">
        <v>200</v>
      </c>
      <c r="E108" s="5">
        <f>180*0.54/200</f>
        <v>0.486</v>
      </c>
      <c r="F108" s="5">
        <v>0.54</v>
      </c>
      <c r="G108" s="5"/>
      <c r="H108" s="5"/>
      <c r="I108" s="5">
        <f>180*J108/200</f>
        <v>25.065</v>
      </c>
      <c r="J108" s="5">
        <v>27.85</v>
      </c>
      <c r="K108" s="5">
        <f>180*L108/200</f>
        <v>96.93</v>
      </c>
      <c r="L108" s="5">
        <v>107.7</v>
      </c>
    </row>
    <row r="109" spans="1:12" ht="15.75">
      <c r="A109" s="1">
        <v>6</v>
      </c>
      <c r="B109" s="1" t="s">
        <v>33</v>
      </c>
      <c r="C109" s="2">
        <v>40</v>
      </c>
      <c r="D109" s="2">
        <v>60</v>
      </c>
      <c r="E109" s="5">
        <v>4.78</v>
      </c>
      <c r="F109" s="21">
        <f>E109*$C$61/$D$61</f>
        <v>4.3020000000000005</v>
      </c>
      <c r="G109" s="5">
        <v>1.96</v>
      </c>
      <c r="H109" s="21">
        <f>G109*$C$61/$D$61</f>
        <v>1.764</v>
      </c>
      <c r="I109" s="5">
        <v>35.86</v>
      </c>
      <c r="J109" s="21">
        <f>I109*$C$61/$D$61</f>
        <v>32.274</v>
      </c>
      <c r="K109" s="5">
        <f>L109*$C$222/$D$222</f>
        <v>104.26666666666667</v>
      </c>
      <c r="L109" s="21">
        <v>156.4</v>
      </c>
    </row>
    <row r="110" spans="1:12" ht="15.75" customHeight="1">
      <c r="A110" s="40" t="s">
        <v>9</v>
      </c>
      <c r="B110" s="40"/>
      <c r="C110" s="40"/>
      <c r="D110" s="40"/>
      <c r="E110" s="6">
        <f>SUM(E104:E109)</f>
        <v>18.73</v>
      </c>
      <c r="F110" s="6">
        <f aca="true" t="shared" si="18" ref="F110:L110">SUM(F104:F109)</f>
        <v>20.343</v>
      </c>
      <c r="G110" s="6">
        <f t="shared" si="18"/>
        <v>11.568000000000001</v>
      </c>
      <c r="H110" s="6">
        <f t="shared" si="18"/>
        <v>13.4575</v>
      </c>
      <c r="I110" s="6">
        <f t="shared" si="18"/>
        <v>106.192</v>
      </c>
      <c r="J110" s="6">
        <f t="shared" si="18"/>
        <v>113.839</v>
      </c>
      <c r="K110" s="6">
        <f t="shared" si="18"/>
        <v>654.6526666666666</v>
      </c>
      <c r="L110" s="6">
        <f t="shared" si="18"/>
        <v>797.9825000000001</v>
      </c>
    </row>
    <row r="111" spans="1:12" ht="15.75">
      <c r="A111" s="43" t="s">
        <v>16</v>
      </c>
      <c r="B111" s="43"/>
      <c r="C111" s="43"/>
      <c r="D111" s="43"/>
      <c r="E111" s="43"/>
      <c r="F111" s="43"/>
      <c r="G111" s="43"/>
      <c r="H111" s="22"/>
      <c r="I111" s="22"/>
      <c r="J111" s="22"/>
      <c r="K111" s="22"/>
      <c r="L111" s="22"/>
    </row>
    <row r="112" spans="1:12" ht="15.75">
      <c r="A112" s="1">
        <v>1</v>
      </c>
      <c r="B112" s="1" t="s">
        <v>80</v>
      </c>
      <c r="C112" s="2">
        <v>180</v>
      </c>
      <c r="D112" s="2">
        <v>250</v>
      </c>
      <c r="E112" s="5">
        <v>5.4</v>
      </c>
      <c r="F112" s="29">
        <v>8.5</v>
      </c>
      <c r="G112" s="29">
        <v>10.6</v>
      </c>
      <c r="H112" s="29">
        <v>18.4</v>
      </c>
      <c r="I112" s="21">
        <v>21</v>
      </c>
      <c r="J112" s="29">
        <v>27.9</v>
      </c>
      <c r="K112" s="21">
        <v>178.2</v>
      </c>
      <c r="L112" s="29">
        <v>260</v>
      </c>
    </row>
    <row r="113" spans="1:12" ht="15.75">
      <c r="A113" s="1">
        <v>2</v>
      </c>
      <c r="B113" s="1" t="s">
        <v>40</v>
      </c>
      <c r="C113" s="2">
        <v>180</v>
      </c>
      <c r="D113" s="2">
        <v>200</v>
      </c>
      <c r="E113" s="5">
        <f>F113*$C$89/$D$89</f>
        <v>2.511</v>
      </c>
      <c r="F113" s="5">
        <v>2.79</v>
      </c>
      <c r="G113" s="5">
        <f>H113*$C$89/$D$89</f>
        <v>2.8710000000000004</v>
      </c>
      <c r="H113" s="5">
        <v>3.19</v>
      </c>
      <c r="I113" s="5">
        <f>J113*$C$89/$D$89</f>
        <v>17.739</v>
      </c>
      <c r="J113" s="5">
        <v>19.71</v>
      </c>
      <c r="K113" s="5">
        <f>L113*$C$89/$D$89</f>
        <v>106.821</v>
      </c>
      <c r="L113" s="5">
        <v>118.69</v>
      </c>
    </row>
    <row r="114" spans="1:12" ht="15.75">
      <c r="A114" s="1">
        <v>3</v>
      </c>
      <c r="B114" s="14" t="s">
        <v>81</v>
      </c>
      <c r="C114" s="2">
        <v>30</v>
      </c>
      <c r="D114" s="2">
        <v>60</v>
      </c>
      <c r="E114" s="5">
        <f>F114*$C$114/$D$114</f>
        <v>2.22</v>
      </c>
      <c r="F114" s="5">
        <v>4.44</v>
      </c>
      <c r="G114" s="5">
        <f>H114*$C$114/$D$114</f>
        <v>3</v>
      </c>
      <c r="H114" s="29">
        <v>6</v>
      </c>
      <c r="I114" s="5">
        <f>J114*$C$114/$D$114</f>
        <v>22.86</v>
      </c>
      <c r="J114" s="21">
        <v>45.72</v>
      </c>
      <c r="K114" s="5">
        <f>L114*$C$114/$D$114</f>
        <v>121.8</v>
      </c>
      <c r="L114" s="21">
        <v>243.6</v>
      </c>
    </row>
    <row r="115" spans="1:12" ht="15.75">
      <c r="A115" s="1">
        <v>4</v>
      </c>
      <c r="B115" s="1" t="s">
        <v>33</v>
      </c>
      <c r="C115" s="2">
        <v>40</v>
      </c>
      <c r="D115" s="2">
        <v>60</v>
      </c>
      <c r="E115" s="5">
        <v>4.78</v>
      </c>
      <c r="F115" s="21">
        <f>E115*$C$61/$D$61</f>
        <v>4.3020000000000005</v>
      </c>
      <c r="G115" s="5">
        <v>1.96</v>
      </c>
      <c r="H115" s="21">
        <f>G115*$C$61/$D$61</f>
        <v>1.764</v>
      </c>
      <c r="I115" s="5">
        <v>35.86</v>
      </c>
      <c r="J115" s="21">
        <f>I115*$C$61/$D$61</f>
        <v>32.274</v>
      </c>
      <c r="K115" s="5">
        <f>L115*$C$222/$D$222</f>
        <v>104.26666666666667</v>
      </c>
      <c r="L115" s="21">
        <v>156.4</v>
      </c>
    </row>
    <row r="116" spans="1:12" ht="15.75" customHeight="1">
      <c r="A116" s="40" t="s">
        <v>9</v>
      </c>
      <c r="B116" s="40"/>
      <c r="C116" s="40"/>
      <c r="D116" s="40"/>
      <c r="E116" s="6">
        <f>SUM(E112:E115)</f>
        <v>14.911000000000001</v>
      </c>
      <c r="F116" s="6">
        <f aca="true" t="shared" si="19" ref="F116:L116">SUM(F112:F115)</f>
        <v>20.032</v>
      </c>
      <c r="G116" s="6">
        <f t="shared" si="19"/>
        <v>18.431</v>
      </c>
      <c r="H116" s="6">
        <f t="shared" si="19"/>
        <v>29.354</v>
      </c>
      <c r="I116" s="6">
        <f t="shared" si="19"/>
        <v>97.459</v>
      </c>
      <c r="J116" s="6">
        <f t="shared" si="19"/>
        <v>125.604</v>
      </c>
      <c r="K116" s="6">
        <f t="shared" si="19"/>
        <v>511.0876666666666</v>
      </c>
      <c r="L116" s="6">
        <f t="shared" si="19"/>
        <v>778.6899999999999</v>
      </c>
    </row>
    <row r="117" spans="1:15" ht="15.75" customHeight="1">
      <c r="A117" s="38" t="s">
        <v>18</v>
      </c>
      <c r="B117" s="38"/>
      <c r="C117" s="38"/>
      <c r="D117" s="38"/>
      <c r="E117" s="9">
        <f>E99+E102+E110+E116</f>
        <v>44.91166666666667</v>
      </c>
      <c r="F117" s="9">
        <f aca="true" t="shared" si="20" ref="F117:L117">F99+F102+F110+F116</f>
        <v>54.126666666666665</v>
      </c>
      <c r="G117" s="9">
        <f t="shared" si="20"/>
        <v>50.301</v>
      </c>
      <c r="H117" s="9">
        <f t="shared" si="20"/>
        <v>67.2415</v>
      </c>
      <c r="I117" s="9">
        <f t="shared" si="20"/>
        <v>274.00866666666667</v>
      </c>
      <c r="J117" s="9">
        <f t="shared" si="20"/>
        <v>323.77466666666663</v>
      </c>
      <c r="K117" s="9">
        <f t="shared" si="20"/>
        <v>1685.5896666666665</v>
      </c>
      <c r="L117" s="9">
        <f t="shared" si="20"/>
        <v>2199.3208333333337</v>
      </c>
      <c r="N117" s="26"/>
      <c r="O117" s="26"/>
    </row>
    <row r="118" spans="1:15" ht="15.75" customHeight="1">
      <c r="A118" s="41" t="s">
        <v>65</v>
      </c>
      <c r="B118" s="41"/>
      <c r="C118" s="42" t="s">
        <v>1</v>
      </c>
      <c r="D118" s="42"/>
      <c r="E118" s="42" t="s">
        <v>2</v>
      </c>
      <c r="F118" s="42"/>
      <c r="G118" s="42" t="s">
        <v>3</v>
      </c>
      <c r="H118" s="42"/>
      <c r="I118" s="42" t="s">
        <v>4</v>
      </c>
      <c r="J118" s="42"/>
      <c r="K118" s="42" t="s">
        <v>5</v>
      </c>
      <c r="L118" s="42"/>
      <c r="N118" s="26"/>
      <c r="O118" s="26"/>
    </row>
    <row r="119" spans="1:12" ht="15.75" customHeight="1">
      <c r="A119" s="41"/>
      <c r="B119" s="41"/>
      <c r="C119" s="24" t="s">
        <v>41</v>
      </c>
      <c r="D119" s="24" t="s">
        <v>42</v>
      </c>
      <c r="E119" s="24" t="s">
        <v>41</v>
      </c>
      <c r="F119" s="24" t="s">
        <v>42</v>
      </c>
      <c r="G119" s="24" t="s">
        <v>41</v>
      </c>
      <c r="H119" s="24" t="s">
        <v>42</v>
      </c>
      <c r="I119" s="24" t="s">
        <v>41</v>
      </c>
      <c r="J119" s="24" t="s">
        <v>42</v>
      </c>
      <c r="K119" s="24" t="s">
        <v>41</v>
      </c>
      <c r="L119" s="24" t="s">
        <v>42</v>
      </c>
    </row>
    <row r="120" spans="1:12" ht="15.75" customHeight="1">
      <c r="A120" s="39" t="s">
        <v>6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ht="47.25">
      <c r="A121" s="1">
        <v>1</v>
      </c>
      <c r="B121" s="20" t="s">
        <v>91</v>
      </c>
      <c r="C121" s="13">
        <v>200</v>
      </c>
      <c r="D121" s="27">
        <v>250</v>
      </c>
      <c r="E121" s="16">
        <v>6.8</v>
      </c>
      <c r="F121" s="10">
        <f>E121*$D$121/$C$121</f>
        <v>8.5</v>
      </c>
      <c r="G121" s="16">
        <v>8.7</v>
      </c>
      <c r="H121" s="10">
        <f>G121*$D$121/$C$121</f>
        <v>10.875</v>
      </c>
      <c r="I121" s="16">
        <v>21.2</v>
      </c>
      <c r="J121" s="10">
        <f>I121*$D$121/$C$121</f>
        <v>26.5</v>
      </c>
      <c r="K121" s="16">
        <v>136.3</v>
      </c>
      <c r="L121" s="10">
        <f>K121*$D$121/$C$121</f>
        <v>170.375</v>
      </c>
    </row>
    <row r="122" spans="1:12" ht="15.75">
      <c r="A122" s="1">
        <v>2</v>
      </c>
      <c r="B122" s="1" t="s">
        <v>29</v>
      </c>
      <c r="C122" s="2">
        <v>180</v>
      </c>
      <c r="D122" s="2">
        <v>200</v>
      </c>
      <c r="E122" s="5">
        <f>F122*$C$50/$D$50</f>
        <v>2.511</v>
      </c>
      <c r="F122" s="5">
        <v>2.79</v>
      </c>
      <c r="G122" s="5">
        <f>H122*$C$50/$D$50</f>
        <v>2.295</v>
      </c>
      <c r="H122" s="5">
        <v>2.55</v>
      </c>
      <c r="I122" s="5">
        <f>J122*$C$50/$D$50</f>
        <v>11.943</v>
      </c>
      <c r="J122" s="5">
        <v>13.27</v>
      </c>
      <c r="K122" s="5">
        <v>70.53</v>
      </c>
      <c r="L122" s="5">
        <v>87.25</v>
      </c>
    </row>
    <row r="123" spans="1:12" ht="15.75">
      <c r="A123" s="1">
        <v>3</v>
      </c>
      <c r="B123" s="1" t="s">
        <v>21</v>
      </c>
      <c r="C123" s="7" t="s">
        <v>50</v>
      </c>
      <c r="D123" s="2" t="s">
        <v>51</v>
      </c>
      <c r="E123" s="5">
        <f>F123*$C$50/$D$50</f>
        <v>1.944</v>
      </c>
      <c r="F123" s="5">
        <v>2.16</v>
      </c>
      <c r="G123" s="5">
        <f>H123*$C$50/$D$50</f>
        <v>6.822</v>
      </c>
      <c r="H123" s="5">
        <v>7.58</v>
      </c>
      <c r="I123" s="5">
        <f>J123*$C$50/$D$50</f>
        <v>14.390999999999998</v>
      </c>
      <c r="J123" s="5">
        <v>15.99</v>
      </c>
      <c r="K123" s="5">
        <f>L123*$C$50/$D$50</f>
        <v>135.576</v>
      </c>
      <c r="L123" s="5">
        <v>150.64</v>
      </c>
    </row>
    <row r="124" spans="1:12" ht="15.75" customHeight="1">
      <c r="A124" s="40" t="s">
        <v>9</v>
      </c>
      <c r="B124" s="40"/>
      <c r="C124" s="40"/>
      <c r="D124" s="40"/>
      <c r="E124" s="6">
        <f>SUM(E121:E123)</f>
        <v>11.254999999999999</v>
      </c>
      <c r="F124" s="6">
        <f aca="true" t="shared" si="21" ref="F124:L124">SUM(F121:F123)</f>
        <v>13.45</v>
      </c>
      <c r="G124" s="6">
        <f t="shared" si="21"/>
        <v>17.817</v>
      </c>
      <c r="H124" s="6">
        <f t="shared" si="21"/>
        <v>21.005000000000003</v>
      </c>
      <c r="I124" s="6">
        <f t="shared" si="21"/>
        <v>47.534</v>
      </c>
      <c r="J124" s="6">
        <f t="shared" si="21"/>
        <v>55.76</v>
      </c>
      <c r="K124" s="6">
        <f t="shared" si="21"/>
        <v>342.406</v>
      </c>
      <c r="L124" s="6">
        <f t="shared" si="21"/>
        <v>408.265</v>
      </c>
    </row>
    <row r="125" spans="1:12" ht="15.75">
      <c r="A125" s="44" t="s">
        <v>10</v>
      </c>
      <c r="B125" s="44"/>
      <c r="C125" s="44"/>
      <c r="D125" s="44"/>
      <c r="E125" s="44"/>
      <c r="F125" s="44"/>
      <c r="G125" s="44"/>
      <c r="H125" s="22"/>
      <c r="I125" s="22"/>
      <c r="J125" s="22"/>
      <c r="K125" s="22"/>
      <c r="L125" s="22"/>
    </row>
    <row r="126" spans="1:12" ht="15.75">
      <c r="A126" s="1">
        <v>1</v>
      </c>
      <c r="B126" s="1" t="s">
        <v>66</v>
      </c>
      <c r="C126" s="2">
        <v>100</v>
      </c>
      <c r="D126" s="22">
        <v>150</v>
      </c>
      <c r="E126" s="2">
        <v>0.64</v>
      </c>
      <c r="F126" s="22">
        <f>E126*$D$126/$C$126</f>
        <v>0.96</v>
      </c>
      <c r="G126" s="22"/>
      <c r="H126" s="22"/>
      <c r="I126" s="2">
        <v>15.02</v>
      </c>
      <c r="J126" s="22">
        <f>I126*$D$126/$C$126</f>
        <v>22.53</v>
      </c>
      <c r="K126" s="2">
        <v>64.77</v>
      </c>
      <c r="L126" s="21">
        <f>K126*$D$126/$C$126</f>
        <v>97.155</v>
      </c>
    </row>
    <row r="127" spans="1:12" ht="15.75" customHeight="1">
      <c r="A127" s="40" t="s">
        <v>9</v>
      </c>
      <c r="B127" s="40"/>
      <c r="C127" s="40"/>
      <c r="D127" s="40"/>
      <c r="E127" s="3">
        <f>SUM(E126)</f>
        <v>0.64</v>
      </c>
      <c r="F127" s="3">
        <f>SUM(F126)</f>
        <v>0.96</v>
      </c>
      <c r="G127" s="3"/>
      <c r="H127" s="3"/>
      <c r="I127" s="3">
        <f>SUM(I126)</f>
        <v>15.02</v>
      </c>
      <c r="J127" s="3">
        <f>SUM(J126)</f>
        <v>22.53</v>
      </c>
      <c r="K127" s="3">
        <f>SUM(K126)</f>
        <v>64.77</v>
      </c>
      <c r="L127" s="6">
        <f>SUM(L126)</f>
        <v>97.155</v>
      </c>
    </row>
    <row r="128" spans="1:12" ht="15.75" customHeight="1">
      <c r="A128" s="39" t="s">
        <v>11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47.25">
      <c r="A129" s="1">
        <v>1</v>
      </c>
      <c r="B129" s="20" t="s">
        <v>67</v>
      </c>
      <c r="C129" s="8">
        <v>200</v>
      </c>
      <c r="D129" s="15">
        <v>250</v>
      </c>
      <c r="E129" s="10">
        <v>3</v>
      </c>
      <c r="F129" s="16">
        <f>E129*$D$129/$C$129</f>
        <v>3.75</v>
      </c>
      <c r="G129" s="10">
        <v>2.63</v>
      </c>
      <c r="H129" s="16">
        <f>G129*$D$129/$C$129</f>
        <v>3.2875</v>
      </c>
      <c r="I129" s="10">
        <v>13.47</v>
      </c>
      <c r="J129" s="16">
        <f>I129*$D$129/$C$129</f>
        <v>16.8375</v>
      </c>
      <c r="K129" s="10">
        <v>89.55</v>
      </c>
      <c r="L129" s="16">
        <f>K129*$D$129/$C$129</f>
        <v>111.9375</v>
      </c>
    </row>
    <row r="130" spans="1:12" ht="31.5">
      <c r="A130" s="1">
        <v>2</v>
      </c>
      <c r="B130" s="20" t="s">
        <v>68</v>
      </c>
      <c r="C130" s="13">
        <v>70</v>
      </c>
      <c r="D130" s="27">
        <v>80</v>
      </c>
      <c r="E130" s="16">
        <f>F130*$C$130/$D$130</f>
        <v>8.16375</v>
      </c>
      <c r="F130" s="10">
        <v>9.33</v>
      </c>
      <c r="G130" s="16">
        <f>H130*$C$130/$D$130</f>
        <v>2.4325</v>
      </c>
      <c r="H130" s="10">
        <v>2.78</v>
      </c>
      <c r="I130" s="16">
        <f>J130*$C$130/$D$130</f>
        <v>4.17375</v>
      </c>
      <c r="J130" s="10">
        <v>4.77</v>
      </c>
      <c r="K130" s="16">
        <f>L130*$C$130/$D$130</f>
        <v>71.19</v>
      </c>
      <c r="L130" s="10">
        <v>81.36</v>
      </c>
    </row>
    <row r="131" spans="1:12" ht="15.75">
      <c r="A131" s="1">
        <v>3</v>
      </c>
      <c r="B131" s="1" t="s">
        <v>82</v>
      </c>
      <c r="C131" s="2">
        <v>150</v>
      </c>
      <c r="D131" s="2">
        <v>180</v>
      </c>
      <c r="E131" s="5">
        <f>F131*$C$131/$D$131</f>
        <v>4.083333333333333</v>
      </c>
      <c r="F131" s="5">
        <v>4.9</v>
      </c>
      <c r="G131" s="5">
        <f>H131*$C$131/$D$131</f>
        <v>6.116666666666666</v>
      </c>
      <c r="H131" s="29">
        <v>7.34</v>
      </c>
      <c r="I131" s="5">
        <f>J131*$C$131/$D$131</f>
        <v>9.75</v>
      </c>
      <c r="J131" s="21">
        <v>11.7</v>
      </c>
      <c r="K131" s="5">
        <f>L131*$C$131/$D$131</f>
        <v>109.08333333333333</v>
      </c>
      <c r="L131" s="21">
        <v>130.9</v>
      </c>
    </row>
    <row r="132" spans="1:12" ht="15.75">
      <c r="A132" s="1">
        <v>4</v>
      </c>
      <c r="B132" s="1" t="s">
        <v>43</v>
      </c>
      <c r="C132" s="2">
        <v>180</v>
      </c>
      <c r="D132" s="2">
        <v>200</v>
      </c>
      <c r="E132" s="5">
        <v>4.28</v>
      </c>
      <c r="F132" s="5">
        <f>250*E132/200</f>
        <v>5.35</v>
      </c>
      <c r="G132" s="5">
        <v>4.8</v>
      </c>
      <c r="H132" s="5">
        <f>250*G132/200</f>
        <v>6</v>
      </c>
      <c r="I132" s="5">
        <v>22</v>
      </c>
      <c r="J132" s="5">
        <f>250*I132/200</f>
        <v>27.5</v>
      </c>
      <c r="K132" s="5">
        <v>143.7</v>
      </c>
      <c r="L132" s="5">
        <f>250*K132/200</f>
        <v>179.625</v>
      </c>
    </row>
    <row r="133" spans="1:12" ht="15.75">
      <c r="A133" s="1">
        <v>5</v>
      </c>
      <c r="B133" s="1" t="s">
        <v>33</v>
      </c>
      <c r="C133" s="2">
        <v>40</v>
      </c>
      <c r="D133" s="2">
        <v>60</v>
      </c>
      <c r="E133" s="5">
        <v>4.78</v>
      </c>
      <c r="F133" s="21">
        <f>E133*$C$61/$D$61</f>
        <v>4.3020000000000005</v>
      </c>
      <c r="G133" s="5">
        <v>1.96</v>
      </c>
      <c r="H133" s="21">
        <f>G133*$C$61/$D$61</f>
        <v>1.764</v>
      </c>
      <c r="I133" s="5">
        <v>35.86</v>
      </c>
      <c r="J133" s="21">
        <f>I133*$C$61/$D$61</f>
        <v>32.274</v>
      </c>
      <c r="K133" s="5">
        <f>L133*$C$222/$D$222</f>
        <v>104.26666666666667</v>
      </c>
      <c r="L133" s="21">
        <v>156.4</v>
      </c>
    </row>
    <row r="134" spans="1:12" ht="15.75" customHeight="1">
      <c r="A134" s="40" t="s">
        <v>9</v>
      </c>
      <c r="B134" s="40"/>
      <c r="C134" s="40"/>
      <c r="D134" s="40"/>
      <c r="E134" s="6">
        <f aca="true" t="shared" si="22" ref="E134:L134">SUM(E129:E133)</f>
        <v>24.307083333333335</v>
      </c>
      <c r="F134" s="6">
        <f t="shared" si="22"/>
        <v>27.631999999999998</v>
      </c>
      <c r="G134" s="6">
        <f t="shared" si="22"/>
        <v>17.93916666666667</v>
      </c>
      <c r="H134" s="21">
        <f t="shared" si="22"/>
        <v>21.171499999999998</v>
      </c>
      <c r="I134" s="21">
        <f t="shared" si="22"/>
        <v>85.25375</v>
      </c>
      <c r="J134" s="21">
        <f t="shared" si="22"/>
        <v>93.0815</v>
      </c>
      <c r="K134" s="21">
        <f t="shared" si="22"/>
        <v>517.79</v>
      </c>
      <c r="L134" s="21">
        <f t="shared" si="22"/>
        <v>660.2225</v>
      </c>
    </row>
    <row r="135" spans="1:12" ht="15.75" customHeight="1">
      <c r="A135" s="39" t="s">
        <v>16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ht="17.25" customHeight="1">
      <c r="A136" s="1">
        <v>1</v>
      </c>
      <c r="B136" s="1" t="s">
        <v>83</v>
      </c>
      <c r="C136" s="2">
        <v>70</v>
      </c>
      <c r="D136" s="2">
        <v>90</v>
      </c>
      <c r="E136" s="5">
        <v>4.9</v>
      </c>
      <c r="F136" s="5">
        <v>6.3</v>
      </c>
      <c r="G136" s="5">
        <v>3.91</v>
      </c>
      <c r="H136" s="29">
        <v>5.01</v>
      </c>
      <c r="I136" s="29">
        <v>26.2</v>
      </c>
      <c r="J136" s="29">
        <v>43.7</v>
      </c>
      <c r="K136" s="29">
        <v>160.8</v>
      </c>
      <c r="L136" s="29">
        <v>206.8</v>
      </c>
    </row>
    <row r="137" spans="1:12" ht="15.75">
      <c r="A137" s="1">
        <v>2</v>
      </c>
      <c r="B137" s="1" t="s">
        <v>55</v>
      </c>
      <c r="C137" s="2">
        <v>180</v>
      </c>
      <c r="D137" s="2">
        <v>200</v>
      </c>
      <c r="E137" s="5">
        <f>F137*$C$43/$D$43</f>
        <v>4.59</v>
      </c>
      <c r="F137" s="5">
        <v>5.1</v>
      </c>
      <c r="G137" s="5">
        <f>H137*$C$43/$D$43</f>
        <v>5.76</v>
      </c>
      <c r="H137" s="5">
        <v>6.4</v>
      </c>
      <c r="I137" s="5">
        <f>J137*$C$43/$D$43</f>
        <v>12.06</v>
      </c>
      <c r="J137" s="5">
        <v>13.4</v>
      </c>
      <c r="K137" s="5">
        <v>121</v>
      </c>
      <c r="L137" s="5">
        <v>163.9</v>
      </c>
    </row>
    <row r="138" spans="1:12" ht="15.75" customHeight="1">
      <c r="A138" s="40" t="s">
        <v>9</v>
      </c>
      <c r="B138" s="40"/>
      <c r="C138" s="40"/>
      <c r="D138" s="40"/>
      <c r="E138" s="6">
        <f>SUM(E136:E137)</f>
        <v>9.49</v>
      </c>
      <c r="F138" s="6">
        <f aca="true" t="shared" si="23" ref="F138:L138">SUM(F136:F137)</f>
        <v>11.399999999999999</v>
      </c>
      <c r="G138" s="6">
        <f t="shared" si="23"/>
        <v>9.67</v>
      </c>
      <c r="H138" s="6">
        <f t="shared" si="23"/>
        <v>11.41</v>
      </c>
      <c r="I138" s="6">
        <f t="shared" si="23"/>
        <v>38.26</v>
      </c>
      <c r="J138" s="6">
        <f t="shared" si="23"/>
        <v>57.1</v>
      </c>
      <c r="K138" s="6">
        <f t="shared" si="23"/>
        <v>281.8</v>
      </c>
      <c r="L138" s="6">
        <f t="shared" si="23"/>
        <v>370.70000000000005</v>
      </c>
    </row>
    <row r="139" spans="1:12" ht="15.75" customHeight="1">
      <c r="A139" s="38" t="s">
        <v>18</v>
      </c>
      <c r="B139" s="38"/>
      <c r="C139" s="38"/>
      <c r="D139" s="38"/>
      <c r="E139" s="9">
        <f>E124+E127+E134+E138</f>
        <v>45.692083333333336</v>
      </c>
      <c r="F139" s="9">
        <f aca="true" t="shared" si="24" ref="F139:L139">F124+F127+F134+F138</f>
        <v>53.442</v>
      </c>
      <c r="G139" s="9">
        <f t="shared" si="24"/>
        <v>45.426166666666674</v>
      </c>
      <c r="H139" s="9">
        <f t="shared" si="24"/>
        <v>53.5865</v>
      </c>
      <c r="I139" s="9">
        <f t="shared" si="24"/>
        <v>186.06775</v>
      </c>
      <c r="J139" s="9">
        <f t="shared" si="24"/>
        <v>228.4715</v>
      </c>
      <c r="K139" s="9">
        <f t="shared" si="24"/>
        <v>1206.7659999999998</v>
      </c>
      <c r="L139" s="9">
        <f t="shared" si="24"/>
        <v>1536.3425</v>
      </c>
    </row>
    <row r="140" spans="1:12" ht="15.75" customHeight="1">
      <c r="A140" s="41" t="s">
        <v>69</v>
      </c>
      <c r="B140" s="41"/>
      <c r="C140" s="42" t="s">
        <v>1</v>
      </c>
      <c r="D140" s="42"/>
      <c r="E140" s="42" t="s">
        <v>2</v>
      </c>
      <c r="F140" s="42"/>
      <c r="G140" s="42" t="s">
        <v>3</v>
      </c>
      <c r="H140" s="42"/>
      <c r="I140" s="42" t="s">
        <v>4</v>
      </c>
      <c r="J140" s="42"/>
      <c r="K140" s="42" t="s">
        <v>5</v>
      </c>
      <c r="L140" s="42"/>
    </row>
    <row r="141" spans="1:12" ht="15.75" customHeight="1">
      <c r="A141" s="41"/>
      <c r="B141" s="41"/>
      <c r="C141" s="24" t="s">
        <v>41</v>
      </c>
      <c r="D141" s="24" t="s">
        <v>42</v>
      </c>
      <c r="E141" s="24" t="s">
        <v>41</v>
      </c>
      <c r="F141" s="24" t="s">
        <v>42</v>
      </c>
      <c r="G141" s="24" t="s">
        <v>41</v>
      </c>
      <c r="H141" s="24" t="s">
        <v>42</v>
      </c>
      <c r="I141" s="24" t="s">
        <v>41</v>
      </c>
      <c r="J141" s="24" t="s">
        <v>42</v>
      </c>
      <c r="K141" s="24" t="s">
        <v>41</v>
      </c>
      <c r="L141" s="24" t="s">
        <v>42</v>
      </c>
    </row>
    <row r="142" spans="1:12" ht="15.75" customHeight="1">
      <c r="A142" s="39" t="s">
        <v>6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15.75">
      <c r="A143" s="1">
        <v>1</v>
      </c>
      <c r="B143" s="1" t="s">
        <v>84</v>
      </c>
      <c r="C143" s="2">
        <v>200</v>
      </c>
      <c r="D143" s="2">
        <v>250</v>
      </c>
      <c r="E143" s="5">
        <v>4.94</v>
      </c>
      <c r="F143" s="5">
        <f>E143*$D$143/$C$143</f>
        <v>6.175</v>
      </c>
      <c r="G143" s="5">
        <v>6.06</v>
      </c>
      <c r="H143" s="5">
        <f>G143*$D$143/$C$143</f>
        <v>7.575</v>
      </c>
      <c r="I143" s="29">
        <v>18.62</v>
      </c>
      <c r="J143" s="5">
        <f>I143*$D$143/$C$143</f>
        <v>23.275</v>
      </c>
      <c r="K143" s="21">
        <v>148.54</v>
      </c>
      <c r="L143" s="5">
        <f>K143*$D$143/$C$143</f>
        <v>185.675</v>
      </c>
    </row>
    <row r="144" spans="1:12" ht="15.75">
      <c r="A144" s="1">
        <v>2</v>
      </c>
      <c r="B144" s="1" t="s">
        <v>40</v>
      </c>
      <c r="C144" s="2">
        <v>180</v>
      </c>
      <c r="D144" s="2">
        <v>200</v>
      </c>
      <c r="E144" s="5">
        <f>F144*$C$89/$D$89</f>
        <v>2.511</v>
      </c>
      <c r="F144" s="5">
        <v>2.79</v>
      </c>
      <c r="G144" s="5">
        <f>H144*$C$89/$D$89</f>
        <v>2.8710000000000004</v>
      </c>
      <c r="H144" s="5">
        <v>3.19</v>
      </c>
      <c r="I144" s="5">
        <f>J144*$C$89/$D$89</f>
        <v>17.739</v>
      </c>
      <c r="J144" s="5">
        <v>19.71</v>
      </c>
      <c r="K144" s="5">
        <f>L144*$C$89/$D$89</f>
        <v>106.821</v>
      </c>
      <c r="L144" s="5">
        <v>118.69</v>
      </c>
    </row>
    <row r="145" spans="1:12" ht="18" customHeight="1">
      <c r="A145" s="1">
        <v>3</v>
      </c>
      <c r="B145" s="1" t="s">
        <v>8</v>
      </c>
      <c r="C145" s="2" t="s">
        <v>44</v>
      </c>
      <c r="D145" s="2" t="s">
        <v>45</v>
      </c>
      <c r="E145" s="5">
        <v>6.1</v>
      </c>
      <c r="F145" s="5">
        <v>12.8</v>
      </c>
      <c r="G145" s="5">
        <v>14.6</v>
      </c>
      <c r="H145" s="5">
        <v>19.6</v>
      </c>
      <c r="I145" s="5">
        <v>6.7</v>
      </c>
      <c r="J145" s="5">
        <v>7</v>
      </c>
      <c r="K145" s="5">
        <v>164</v>
      </c>
      <c r="L145" s="5">
        <v>204</v>
      </c>
    </row>
    <row r="146" spans="1:12" ht="15.75" customHeight="1">
      <c r="A146" s="40" t="s">
        <v>9</v>
      </c>
      <c r="B146" s="40"/>
      <c r="C146" s="40"/>
      <c r="D146" s="40"/>
      <c r="E146" s="6">
        <f>SUM(E143:E145)</f>
        <v>13.551</v>
      </c>
      <c r="F146" s="6">
        <f aca="true" t="shared" si="25" ref="F146:L146">SUM(F143:F145)</f>
        <v>21.765</v>
      </c>
      <c r="G146" s="6">
        <f t="shared" si="25"/>
        <v>23.531</v>
      </c>
      <c r="H146" s="6">
        <f t="shared" si="25"/>
        <v>30.365000000000002</v>
      </c>
      <c r="I146" s="6">
        <f t="shared" si="25"/>
        <v>43.059000000000005</v>
      </c>
      <c r="J146" s="6">
        <f t="shared" si="25"/>
        <v>49.985</v>
      </c>
      <c r="K146" s="6">
        <f t="shared" si="25"/>
        <v>419.361</v>
      </c>
      <c r="L146" s="6">
        <f t="shared" si="25"/>
        <v>508.365</v>
      </c>
    </row>
    <row r="147" spans="1:12" ht="15.75" customHeight="1">
      <c r="A147" s="39" t="s">
        <v>10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5.75">
      <c r="A148" s="1">
        <v>1</v>
      </c>
      <c r="B148" s="1" t="s">
        <v>70</v>
      </c>
      <c r="C148" s="2">
        <v>100</v>
      </c>
      <c r="D148" s="22">
        <v>150</v>
      </c>
      <c r="E148" s="5">
        <f>F148*$C$148/$D$148</f>
        <v>0.4266666666666667</v>
      </c>
      <c r="F148" s="5">
        <v>0.64</v>
      </c>
      <c r="G148" s="21"/>
      <c r="H148" s="21"/>
      <c r="I148" s="5">
        <f>J148*$C$148/$D$148</f>
        <v>10.08</v>
      </c>
      <c r="J148" s="5">
        <v>15.12</v>
      </c>
      <c r="K148" s="5">
        <f>L148*$C$148/$D$148</f>
        <v>43.13999999999999</v>
      </c>
      <c r="L148" s="5">
        <v>64.71</v>
      </c>
    </row>
    <row r="149" spans="1:12" ht="15.75" customHeight="1">
      <c r="A149" s="40" t="s">
        <v>9</v>
      </c>
      <c r="B149" s="40"/>
      <c r="C149" s="40"/>
      <c r="D149" s="40"/>
      <c r="E149" s="6">
        <f>SUM(E148)</f>
        <v>0.4266666666666667</v>
      </c>
      <c r="F149" s="6">
        <f aca="true" t="shared" si="26" ref="F149:L149">SUM(F148)</f>
        <v>0.64</v>
      </c>
      <c r="G149" s="6"/>
      <c r="H149" s="6"/>
      <c r="I149" s="6">
        <f t="shared" si="26"/>
        <v>10.08</v>
      </c>
      <c r="J149" s="6">
        <f t="shared" si="26"/>
        <v>15.12</v>
      </c>
      <c r="K149" s="6">
        <f t="shared" si="26"/>
        <v>43.13999999999999</v>
      </c>
      <c r="L149" s="6">
        <f t="shared" si="26"/>
        <v>64.71</v>
      </c>
    </row>
    <row r="150" spans="1:12" ht="15.75" customHeight="1">
      <c r="A150" s="39" t="s">
        <v>11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63">
      <c r="A151" s="1">
        <v>1</v>
      </c>
      <c r="B151" s="20" t="s">
        <v>85</v>
      </c>
      <c r="C151" s="8">
        <v>200</v>
      </c>
      <c r="D151" s="15">
        <v>250</v>
      </c>
      <c r="E151" s="10">
        <v>1.52</v>
      </c>
      <c r="F151" s="16">
        <f>E151*$D$151/$C$151</f>
        <v>1.9</v>
      </c>
      <c r="G151" s="10">
        <v>5.33</v>
      </c>
      <c r="H151" s="16">
        <f>G151*$D$151/$C$151</f>
        <v>6.6625</v>
      </c>
      <c r="I151" s="10">
        <v>8.65</v>
      </c>
      <c r="J151" s="16">
        <f>I151*$D$151/$C$151</f>
        <v>10.8125</v>
      </c>
      <c r="K151" s="10">
        <v>88.89</v>
      </c>
      <c r="L151" s="16">
        <f>K151*$D$151/$C$151</f>
        <v>111.1125</v>
      </c>
    </row>
    <row r="152" spans="1:12" ht="15.75">
      <c r="A152" s="1">
        <v>2</v>
      </c>
      <c r="B152" s="1" t="s">
        <v>71</v>
      </c>
      <c r="C152" s="8">
        <v>180</v>
      </c>
      <c r="D152" s="15">
        <v>200</v>
      </c>
      <c r="E152" s="16">
        <f>F152*$C$152/$D$152</f>
        <v>21.897</v>
      </c>
      <c r="F152" s="10">
        <v>24.33</v>
      </c>
      <c r="G152" s="16">
        <f>H152*$C$152/$D$152</f>
        <v>18.621000000000002</v>
      </c>
      <c r="H152" s="10">
        <v>20.69</v>
      </c>
      <c r="I152" s="16">
        <f>J152*$C$152/$D$152</f>
        <v>30.339000000000002</v>
      </c>
      <c r="J152" s="10">
        <v>33.71</v>
      </c>
      <c r="K152" s="16">
        <v>300.2</v>
      </c>
      <c r="L152" s="10">
        <v>403.68</v>
      </c>
    </row>
    <row r="153" spans="1:12" ht="15.75">
      <c r="A153" s="1">
        <v>3</v>
      </c>
      <c r="B153" s="1" t="s">
        <v>14</v>
      </c>
      <c r="C153" s="2">
        <v>180</v>
      </c>
      <c r="D153" s="2">
        <v>200</v>
      </c>
      <c r="E153" s="5">
        <f>180*0.54/200</f>
        <v>0.486</v>
      </c>
      <c r="F153" s="5">
        <v>0.54</v>
      </c>
      <c r="G153" s="5"/>
      <c r="H153" s="5"/>
      <c r="I153" s="5">
        <f>180*J153/200</f>
        <v>25.065</v>
      </c>
      <c r="J153" s="5">
        <v>27.85</v>
      </c>
      <c r="K153" s="5">
        <f>180*L153/200</f>
        <v>96.93</v>
      </c>
      <c r="L153" s="5">
        <v>107.7</v>
      </c>
    </row>
    <row r="154" spans="1:12" ht="15.75">
      <c r="A154" s="1">
        <v>4</v>
      </c>
      <c r="B154" s="1" t="s">
        <v>15</v>
      </c>
      <c r="C154" s="2">
        <v>40</v>
      </c>
      <c r="D154" s="2">
        <v>50</v>
      </c>
      <c r="E154" s="5">
        <f>C154*2.81/60</f>
        <v>1.8733333333333335</v>
      </c>
      <c r="F154" s="5">
        <f>D154*2.81/60</f>
        <v>2.341666666666667</v>
      </c>
      <c r="G154" s="5">
        <f>C154*0.44/60</f>
        <v>0.29333333333333333</v>
      </c>
      <c r="H154" s="5">
        <f>D154*0.44/60</f>
        <v>0.36666666666666664</v>
      </c>
      <c r="I154" s="5">
        <f>C154*23.52/60</f>
        <v>15.68</v>
      </c>
      <c r="J154" s="5">
        <f>D154*23.52/60</f>
        <v>19.6</v>
      </c>
      <c r="K154" s="5">
        <f>C154*111.56/60</f>
        <v>74.37333333333332</v>
      </c>
      <c r="L154" s="5">
        <f>D154*111.56/60</f>
        <v>92.96666666666667</v>
      </c>
    </row>
    <row r="155" spans="1:12" ht="15.75" customHeight="1">
      <c r="A155" s="40" t="s">
        <v>9</v>
      </c>
      <c r="B155" s="40"/>
      <c r="C155" s="40"/>
      <c r="D155" s="40"/>
      <c r="E155" s="6">
        <f>SUM(E151:E154)</f>
        <v>25.776333333333334</v>
      </c>
      <c r="F155" s="6">
        <f>SUM(F151:F154)</f>
        <v>29.111666666666665</v>
      </c>
      <c r="G155" s="6">
        <f aca="true" t="shared" si="27" ref="G155:L155">SUM(G151:G154)</f>
        <v>24.244333333333334</v>
      </c>
      <c r="H155" s="6">
        <f t="shared" si="27"/>
        <v>27.719166666666666</v>
      </c>
      <c r="I155" s="6">
        <f t="shared" si="27"/>
        <v>79.73400000000001</v>
      </c>
      <c r="J155" s="6">
        <f t="shared" si="27"/>
        <v>91.9725</v>
      </c>
      <c r="K155" s="6">
        <f t="shared" si="27"/>
        <v>560.3933333333333</v>
      </c>
      <c r="L155" s="6">
        <f t="shared" si="27"/>
        <v>715.4591666666668</v>
      </c>
    </row>
    <row r="156" spans="1:12" ht="15.75" customHeight="1">
      <c r="A156" s="39" t="s">
        <v>16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31.5">
      <c r="A157" s="1">
        <v>1</v>
      </c>
      <c r="B157" s="20" t="s">
        <v>72</v>
      </c>
      <c r="C157" s="2">
        <v>120</v>
      </c>
      <c r="D157" s="22">
        <v>150</v>
      </c>
      <c r="E157" s="21">
        <f>24.26*$C$157/100</f>
        <v>29.112000000000002</v>
      </c>
      <c r="F157" s="21">
        <f>24.26*$D$157/100</f>
        <v>36.39000000000001</v>
      </c>
      <c r="G157" s="21">
        <f>8.31*$C$157/100</f>
        <v>9.972000000000001</v>
      </c>
      <c r="H157" s="21">
        <f>8.31*$D$157/100</f>
        <v>12.465</v>
      </c>
      <c r="I157" s="21">
        <f>39.75*$C$157/100</f>
        <v>47.7</v>
      </c>
      <c r="J157" s="21">
        <f>39.75*$D$157/100</f>
        <v>59.625</v>
      </c>
      <c r="K157" s="21">
        <f>330.81*$C$157/100</f>
        <v>396.972</v>
      </c>
      <c r="L157" s="21">
        <f>330.81*$D$157/100</f>
        <v>496.215</v>
      </c>
    </row>
    <row r="158" spans="1:12" ht="15.75">
      <c r="A158" s="1">
        <v>2</v>
      </c>
      <c r="B158" s="1" t="s">
        <v>43</v>
      </c>
      <c r="C158" s="2">
        <v>180</v>
      </c>
      <c r="D158" s="2">
        <v>200</v>
      </c>
      <c r="E158" s="5">
        <v>4.28</v>
      </c>
      <c r="F158" s="5">
        <f>250*E158/200</f>
        <v>5.35</v>
      </c>
      <c r="G158" s="5">
        <v>4.8</v>
      </c>
      <c r="H158" s="5">
        <f>250*G158/200</f>
        <v>6</v>
      </c>
      <c r="I158" s="5">
        <v>22</v>
      </c>
      <c r="J158" s="5">
        <f>250*I158/200</f>
        <v>27.5</v>
      </c>
      <c r="K158" s="5">
        <v>143.7</v>
      </c>
      <c r="L158" s="5">
        <f>250*K158/200</f>
        <v>179.625</v>
      </c>
    </row>
    <row r="159" spans="1:12" ht="15.75" customHeight="1">
      <c r="A159" s="40" t="s">
        <v>9</v>
      </c>
      <c r="B159" s="40"/>
      <c r="C159" s="40"/>
      <c r="D159" s="40"/>
      <c r="E159" s="6">
        <f>SUM(E157:E158)</f>
        <v>33.392</v>
      </c>
      <c r="F159" s="6">
        <f aca="true" t="shared" si="28" ref="F159:L159">SUM(F157:F158)</f>
        <v>41.74000000000001</v>
      </c>
      <c r="G159" s="6">
        <f t="shared" si="28"/>
        <v>14.772000000000002</v>
      </c>
      <c r="H159" s="6">
        <f t="shared" si="28"/>
        <v>18.465</v>
      </c>
      <c r="I159" s="6">
        <f t="shared" si="28"/>
        <v>69.7</v>
      </c>
      <c r="J159" s="6">
        <f t="shared" si="28"/>
        <v>87.125</v>
      </c>
      <c r="K159" s="6">
        <f t="shared" si="28"/>
        <v>540.672</v>
      </c>
      <c r="L159" s="6">
        <f t="shared" si="28"/>
        <v>675.8399999999999</v>
      </c>
    </row>
    <row r="160" spans="1:12" ht="15.75" customHeight="1">
      <c r="A160" s="38" t="s">
        <v>18</v>
      </c>
      <c r="B160" s="38"/>
      <c r="C160" s="38"/>
      <c r="D160" s="38"/>
      <c r="E160" s="9">
        <f>E146+E149+E155+E159</f>
        <v>73.146</v>
      </c>
      <c r="F160" s="9">
        <f aca="true" t="shared" si="29" ref="F160:L160">F146+F149+F155+F159</f>
        <v>93.25666666666667</v>
      </c>
      <c r="G160" s="9">
        <f t="shared" si="29"/>
        <v>62.54733333333334</v>
      </c>
      <c r="H160" s="9">
        <f t="shared" si="29"/>
        <v>76.54916666666666</v>
      </c>
      <c r="I160" s="9">
        <f t="shared" si="29"/>
        <v>202.57300000000004</v>
      </c>
      <c r="J160" s="9">
        <f t="shared" si="29"/>
        <v>244.2025</v>
      </c>
      <c r="K160" s="9">
        <f t="shared" si="29"/>
        <v>1563.5663333333332</v>
      </c>
      <c r="L160" s="9">
        <f t="shared" si="29"/>
        <v>1964.3741666666667</v>
      </c>
    </row>
    <row r="161" spans="1:12" ht="15.75" customHeight="1">
      <c r="A161" s="41" t="s">
        <v>73</v>
      </c>
      <c r="B161" s="41"/>
      <c r="C161" s="42" t="s">
        <v>1</v>
      </c>
      <c r="D161" s="42"/>
      <c r="E161" s="42" t="s">
        <v>2</v>
      </c>
      <c r="F161" s="42"/>
      <c r="G161" s="42" t="s">
        <v>3</v>
      </c>
      <c r="H161" s="42"/>
      <c r="I161" s="42" t="s">
        <v>4</v>
      </c>
      <c r="J161" s="42"/>
      <c r="K161" s="42" t="s">
        <v>5</v>
      </c>
      <c r="L161" s="42"/>
    </row>
    <row r="162" spans="1:12" ht="15.75" customHeight="1">
      <c r="A162" s="41"/>
      <c r="B162" s="41"/>
      <c r="C162" s="24" t="s">
        <v>41</v>
      </c>
      <c r="D162" s="24" t="s">
        <v>42</v>
      </c>
      <c r="E162" s="24" t="s">
        <v>41</v>
      </c>
      <c r="F162" s="24" t="s">
        <v>42</v>
      </c>
      <c r="G162" s="24" t="s">
        <v>41</v>
      </c>
      <c r="H162" s="24" t="s">
        <v>42</v>
      </c>
      <c r="I162" s="24" t="s">
        <v>41</v>
      </c>
      <c r="J162" s="24" t="s">
        <v>42</v>
      </c>
      <c r="K162" s="24" t="s">
        <v>41</v>
      </c>
      <c r="L162" s="24" t="s">
        <v>42</v>
      </c>
    </row>
    <row r="163" spans="1:12" ht="15.75">
      <c r="A163" s="44" t="s">
        <v>6</v>
      </c>
      <c r="B163" s="44"/>
      <c r="C163" s="44"/>
      <c r="D163" s="44"/>
      <c r="E163" s="44"/>
      <c r="F163" s="44"/>
      <c r="G163" s="44"/>
      <c r="H163" s="22"/>
      <c r="I163" s="22"/>
      <c r="J163" s="22"/>
      <c r="K163" s="22"/>
      <c r="L163" s="22"/>
    </row>
    <row r="164" spans="1:12" ht="15.75">
      <c r="A164" s="1">
        <v>1</v>
      </c>
      <c r="B164" s="1" t="s">
        <v>86</v>
      </c>
      <c r="C164" s="2">
        <v>200</v>
      </c>
      <c r="D164" s="2">
        <v>250</v>
      </c>
      <c r="E164" s="5">
        <v>6.94</v>
      </c>
      <c r="F164" s="5">
        <f>E164*$D$164/$C$164</f>
        <v>8.675</v>
      </c>
      <c r="G164" s="5">
        <v>7.2</v>
      </c>
      <c r="H164" s="5">
        <f>G164*$D$164/$C$164</f>
        <v>9</v>
      </c>
      <c r="I164" s="29">
        <v>39.48</v>
      </c>
      <c r="J164" s="5">
        <f>I164*$D$164/$C$164</f>
        <v>49.35</v>
      </c>
      <c r="K164" s="29">
        <v>250.52</v>
      </c>
      <c r="L164" s="5">
        <f>K164*$D$164/$C$164</f>
        <v>313.15</v>
      </c>
    </row>
    <row r="165" spans="1:12" ht="15.75">
      <c r="A165" s="1">
        <v>2</v>
      </c>
      <c r="B165" s="1" t="s">
        <v>57</v>
      </c>
      <c r="C165" s="2">
        <v>180</v>
      </c>
      <c r="D165" s="2">
        <v>200</v>
      </c>
      <c r="E165" s="5">
        <v>4.28</v>
      </c>
      <c r="F165" s="5">
        <f>250*E165/200</f>
        <v>5.35</v>
      </c>
      <c r="G165" s="5">
        <v>4.8</v>
      </c>
      <c r="H165" s="5">
        <f>250*G165/200</f>
        <v>6</v>
      </c>
      <c r="I165" s="5">
        <v>22</v>
      </c>
      <c r="J165" s="5">
        <f>250*I165/200</f>
        <v>27.5</v>
      </c>
      <c r="K165" s="5">
        <v>143.7</v>
      </c>
      <c r="L165" s="5">
        <f>250*K165/200</f>
        <v>179.625</v>
      </c>
    </row>
    <row r="166" spans="1:12" ht="15.75" customHeight="1">
      <c r="A166" s="1">
        <v>3</v>
      </c>
      <c r="B166" s="1" t="s">
        <v>21</v>
      </c>
      <c r="C166" s="7" t="s">
        <v>50</v>
      </c>
      <c r="D166" s="2" t="s">
        <v>51</v>
      </c>
      <c r="E166" s="5">
        <f>F166*$C$50/$D$50</f>
        <v>1.944</v>
      </c>
      <c r="F166" s="5">
        <v>2.16</v>
      </c>
      <c r="G166" s="5">
        <f>H166*$C$50/$D$50</f>
        <v>6.822</v>
      </c>
      <c r="H166" s="5">
        <v>7.58</v>
      </c>
      <c r="I166" s="5">
        <f>J166*$C$50/$D$50</f>
        <v>14.390999999999998</v>
      </c>
      <c r="J166" s="5">
        <v>15.99</v>
      </c>
      <c r="K166" s="5">
        <f>L166*$C$50/$D$50</f>
        <v>135.576</v>
      </c>
      <c r="L166" s="5">
        <v>150.64</v>
      </c>
    </row>
    <row r="167" spans="1:12" ht="15.75" customHeight="1">
      <c r="A167" s="40" t="s">
        <v>9</v>
      </c>
      <c r="B167" s="40"/>
      <c r="C167" s="40"/>
      <c r="D167" s="40"/>
      <c r="E167" s="6">
        <f>SUM(E164:E166)</f>
        <v>13.164000000000001</v>
      </c>
      <c r="F167" s="6">
        <f aca="true" t="shared" si="30" ref="F167:L167">SUM(F164:F166)</f>
        <v>16.185000000000002</v>
      </c>
      <c r="G167" s="6">
        <f t="shared" si="30"/>
        <v>18.822</v>
      </c>
      <c r="H167" s="6">
        <f t="shared" si="30"/>
        <v>22.58</v>
      </c>
      <c r="I167" s="6">
        <f t="shared" si="30"/>
        <v>75.871</v>
      </c>
      <c r="J167" s="6">
        <f t="shared" si="30"/>
        <v>92.83999999999999</v>
      </c>
      <c r="K167" s="6">
        <f t="shared" si="30"/>
        <v>529.796</v>
      </c>
      <c r="L167" s="6">
        <f t="shared" si="30"/>
        <v>643.415</v>
      </c>
    </row>
    <row r="168" spans="1:12" ht="15.75" customHeight="1">
      <c r="A168" s="39" t="s">
        <v>10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5.75">
      <c r="A169" s="1">
        <v>1</v>
      </c>
      <c r="B169" s="1" t="s">
        <v>22</v>
      </c>
      <c r="C169" s="2">
        <v>100</v>
      </c>
      <c r="D169" s="2">
        <v>150</v>
      </c>
      <c r="E169" s="5">
        <f>F169*100/D169</f>
        <v>0.4266666666666667</v>
      </c>
      <c r="F169" s="5">
        <v>0.64</v>
      </c>
      <c r="G169" s="5"/>
      <c r="H169" s="5"/>
      <c r="I169" s="5">
        <f>J169*100/D169</f>
        <v>10.08</v>
      </c>
      <c r="J169" s="5">
        <v>15.12</v>
      </c>
      <c r="K169" s="5">
        <f>L169*C169/D169</f>
        <v>43.13999999999999</v>
      </c>
      <c r="L169" s="5">
        <v>64.71</v>
      </c>
    </row>
    <row r="170" spans="1:12" ht="15.75" customHeight="1">
      <c r="A170" s="40" t="s">
        <v>9</v>
      </c>
      <c r="B170" s="40"/>
      <c r="C170" s="40"/>
      <c r="D170" s="40"/>
      <c r="E170" s="6">
        <f>SUM(E169)</f>
        <v>0.4266666666666667</v>
      </c>
      <c r="F170" s="6">
        <f>SUM(F169)</f>
        <v>0.64</v>
      </c>
      <c r="G170" s="6"/>
      <c r="H170" s="6"/>
      <c r="I170" s="6">
        <f>SUM(I169)</f>
        <v>10.08</v>
      </c>
      <c r="J170" s="6">
        <f>SUM(J169)</f>
        <v>15.12</v>
      </c>
      <c r="K170" s="6">
        <f>SUM(K169)</f>
        <v>43.13999999999999</v>
      </c>
      <c r="L170" s="6">
        <f>SUM(L169)</f>
        <v>64.71</v>
      </c>
    </row>
    <row r="171" spans="1:12" ht="15.75" customHeight="1">
      <c r="A171" s="39" t="s">
        <v>11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5.75">
      <c r="A172" s="1">
        <v>1</v>
      </c>
      <c r="B172" s="1" t="s">
        <v>87</v>
      </c>
      <c r="C172" s="2">
        <v>200</v>
      </c>
      <c r="D172" s="22">
        <v>250</v>
      </c>
      <c r="E172" s="5">
        <v>3.9</v>
      </c>
      <c r="F172" s="21">
        <f>E172*$D$172/$C$172</f>
        <v>4.875</v>
      </c>
      <c r="G172" s="5">
        <v>6.7</v>
      </c>
      <c r="H172" s="21">
        <f>G172*$D$172/$C$172</f>
        <v>8.375</v>
      </c>
      <c r="I172" s="5">
        <v>28.3</v>
      </c>
      <c r="J172" s="21">
        <f>I172*$D$172/$C$172</f>
        <v>35.375</v>
      </c>
      <c r="K172" s="5">
        <v>104</v>
      </c>
      <c r="L172" s="21">
        <f>K172*$D$172/$C$172</f>
        <v>130</v>
      </c>
    </row>
    <row r="173" spans="1:12" ht="15.75">
      <c r="A173" s="1">
        <v>2</v>
      </c>
      <c r="B173" s="1" t="s">
        <v>88</v>
      </c>
      <c r="C173" s="2">
        <v>82</v>
      </c>
      <c r="D173" s="2">
        <v>97</v>
      </c>
      <c r="E173" s="5">
        <v>10.3</v>
      </c>
      <c r="F173" s="5">
        <v>11.8</v>
      </c>
      <c r="G173" s="29">
        <v>14.4</v>
      </c>
      <c r="H173" s="29">
        <v>18.9</v>
      </c>
      <c r="I173" s="21"/>
      <c r="J173" s="21"/>
      <c r="K173" s="29">
        <v>180</v>
      </c>
      <c r="L173" s="29">
        <v>216.4</v>
      </c>
    </row>
    <row r="174" spans="1:12" ht="15.75">
      <c r="A174" s="1">
        <v>3</v>
      </c>
      <c r="B174" s="1" t="s">
        <v>89</v>
      </c>
      <c r="C174" s="2">
        <v>100</v>
      </c>
      <c r="D174" s="2">
        <v>110</v>
      </c>
      <c r="E174" s="5">
        <f>6.62*$C$174/100</f>
        <v>6.62</v>
      </c>
      <c r="F174" s="5">
        <f>6.62*$D$174/100</f>
        <v>7.282</v>
      </c>
      <c r="G174" s="5">
        <f>6.5*$C$174/100</f>
        <v>6.5</v>
      </c>
      <c r="H174" s="5">
        <f>6.9*$D$174/100</f>
        <v>7.59</v>
      </c>
      <c r="I174" s="5">
        <f>21.9*$C$174/100</f>
        <v>21.9</v>
      </c>
      <c r="J174" s="5">
        <f>31.5*$D$174/100</f>
        <v>34.65</v>
      </c>
      <c r="K174" s="5">
        <f>138.5*$C$174/100</f>
        <v>138.5</v>
      </c>
      <c r="L174" s="5">
        <f>140.4*$D$174/100</f>
        <v>154.44</v>
      </c>
    </row>
    <row r="175" spans="1:12" ht="15.75">
      <c r="A175" s="1">
        <v>5</v>
      </c>
      <c r="B175" s="1" t="s">
        <v>26</v>
      </c>
      <c r="C175" s="2">
        <v>180</v>
      </c>
      <c r="D175" s="2">
        <v>200</v>
      </c>
      <c r="E175" s="5">
        <f>F175*$C$38/200</f>
        <v>0.243</v>
      </c>
      <c r="F175" s="5">
        <v>0.27</v>
      </c>
      <c r="G175" s="5"/>
      <c r="H175" s="5"/>
      <c r="I175" s="5">
        <f>30.82*$C$38/200</f>
        <v>27.738000000000003</v>
      </c>
      <c r="J175" s="5">
        <f>30.82*$C$38/200</f>
        <v>27.738000000000003</v>
      </c>
      <c r="K175" s="5"/>
      <c r="L175" s="5">
        <v>124.17</v>
      </c>
    </row>
    <row r="176" spans="1:12" ht="15.75">
      <c r="A176" s="1">
        <v>6</v>
      </c>
      <c r="B176" s="1" t="s">
        <v>33</v>
      </c>
      <c r="C176" s="2">
        <v>40</v>
      </c>
      <c r="D176" s="2">
        <v>60</v>
      </c>
      <c r="E176" s="5">
        <v>4.78</v>
      </c>
      <c r="F176" s="21">
        <f>E176*$C$61/$D$61</f>
        <v>4.3020000000000005</v>
      </c>
      <c r="G176" s="5">
        <v>1.96</v>
      </c>
      <c r="H176" s="21">
        <f>G176*$C$61/$D$61</f>
        <v>1.764</v>
      </c>
      <c r="I176" s="5">
        <v>35.86</v>
      </c>
      <c r="J176" s="21">
        <f>I176*$C$61/$D$61</f>
        <v>32.274</v>
      </c>
      <c r="K176" s="5">
        <f>L176*$C$222/$D$222</f>
        <v>104.26666666666667</v>
      </c>
      <c r="L176" s="21">
        <v>156.4</v>
      </c>
    </row>
    <row r="177" spans="1:12" ht="15.75" customHeight="1">
      <c r="A177" s="40" t="s">
        <v>9</v>
      </c>
      <c r="B177" s="40"/>
      <c r="C177" s="40"/>
      <c r="D177" s="40"/>
      <c r="E177" s="6">
        <f>SUM(E172:E176)</f>
        <v>25.843</v>
      </c>
      <c r="F177" s="6">
        <f aca="true" t="shared" si="31" ref="F177:L177">SUM(F172:F176)</f>
        <v>28.529</v>
      </c>
      <c r="G177" s="6">
        <f t="shared" si="31"/>
        <v>29.560000000000002</v>
      </c>
      <c r="H177" s="6">
        <f t="shared" si="31"/>
        <v>36.629</v>
      </c>
      <c r="I177" s="6">
        <f t="shared" si="31"/>
        <v>113.798</v>
      </c>
      <c r="J177" s="6">
        <f t="shared" si="31"/>
        <v>130.037</v>
      </c>
      <c r="K177" s="6">
        <f t="shared" si="31"/>
        <v>526.7666666666667</v>
      </c>
      <c r="L177" s="6">
        <f t="shared" si="31"/>
        <v>781.41</v>
      </c>
    </row>
    <row r="178" spans="1:12" ht="15.75" customHeight="1">
      <c r="A178" s="39" t="s">
        <v>16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5.75">
      <c r="A179" s="1">
        <v>1</v>
      </c>
      <c r="B179" s="74" t="s">
        <v>163</v>
      </c>
      <c r="C179" s="8">
        <v>150</v>
      </c>
      <c r="D179" s="15">
        <v>180</v>
      </c>
      <c r="E179" s="16">
        <v>7.2</v>
      </c>
      <c r="F179" s="10">
        <v>10.9</v>
      </c>
      <c r="G179" s="16">
        <v>8</v>
      </c>
      <c r="H179" s="10">
        <v>10.2</v>
      </c>
      <c r="I179" s="16">
        <v>20.5</v>
      </c>
      <c r="J179" s="10">
        <v>21</v>
      </c>
      <c r="K179" s="17">
        <v>98.3</v>
      </c>
      <c r="L179" s="10">
        <v>150</v>
      </c>
    </row>
    <row r="180" spans="1:12" ht="15.75">
      <c r="A180" s="1">
        <v>2</v>
      </c>
      <c r="B180" s="1" t="s">
        <v>40</v>
      </c>
      <c r="C180" s="2">
        <v>180</v>
      </c>
      <c r="D180" s="2">
        <v>200</v>
      </c>
      <c r="E180" s="5">
        <f>F180*$C$89/$D$89</f>
        <v>2.511</v>
      </c>
      <c r="F180" s="5">
        <v>2.79</v>
      </c>
      <c r="G180" s="5">
        <f>H180*$C$89/$D$89</f>
        <v>2.8710000000000004</v>
      </c>
      <c r="H180" s="5">
        <v>3.19</v>
      </c>
      <c r="I180" s="5">
        <f>J180*$C$89/$D$89</f>
        <v>17.739</v>
      </c>
      <c r="J180" s="5">
        <v>19.71</v>
      </c>
      <c r="K180" s="5">
        <f>L180*$C$89/$D$89</f>
        <v>106.821</v>
      </c>
      <c r="L180" s="5">
        <v>118.69</v>
      </c>
    </row>
    <row r="181" spans="1:36" ht="15.75" customHeight="1">
      <c r="A181" s="40" t="s">
        <v>9</v>
      </c>
      <c r="B181" s="40"/>
      <c r="C181" s="40"/>
      <c r="D181" s="40"/>
      <c r="E181" s="6">
        <f>SUM(E179:E180)</f>
        <v>9.711</v>
      </c>
      <c r="F181" s="6">
        <f aca="true" t="shared" si="32" ref="F181:L181">SUM(F179:F180)</f>
        <v>13.690000000000001</v>
      </c>
      <c r="G181" s="6">
        <f t="shared" si="32"/>
        <v>10.871</v>
      </c>
      <c r="H181" s="6">
        <f t="shared" si="32"/>
        <v>13.389999999999999</v>
      </c>
      <c r="I181" s="6">
        <f t="shared" si="32"/>
        <v>38.239000000000004</v>
      </c>
      <c r="J181" s="6">
        <f t="shared" si="32"/>
        <v>40.71</v>
      </c>
      <c r="K181" s="6">
        <f t="shared" si="32"/>
        <v>205.12099999999998</v>
      </c>
      <c r="L181" s="6">
        <f t="shared" si="32"/>
        <v>268.69</v>
      </c>
      <c r="AB181" s="32"/>
      <c r="AC181" s="32"/>
      <c r="AD181" s="32"/>
      <c r="AE181" s="32"/>
      <c r="AF181" s="32"/>
      <c r="AG181" s="32"/>
      <c r="AH181" s="32"/>
      <c r="AI181" s="32"/>
      <c r="AJ181" s="28"/>
    </row>
    <row r="182" spans="1:12" ht="15.75" customHeight="1">
      <c r="A182" s="38" t="s">
        <v>18</v>
      </c>
      <c r="B182" s="38"/>
      <c r="C182" s="38"/>
      <c r="D182" s="38"/>
      <c r="E182" s="9">
        <f>E167+E170+E177+E181</f>
        <v>49.144666666666666</v>
      </c>
      <c r="F182" s="9">
        <f aca="true" t="shared" si="33" ref="F182:L182">F167+F170+F177+F181</f>
        <v>59.044</v>
      </c>
      <c r="G182" s="9">
        <f t="shared" si="33"/>
        <v>59.25300000000001</v>
      </c>
      <c r="H182" s="9">
        <f t="shared" si="33"/>
        <v>72.59899999999999</v>
      </c>
      <c r="I182" s="9">
        <f t="shared" si="33"/>
        <v>237.988</v>
      </c>
      <c r="J182" s="9">
        <f t="shared" si="33"/>
        <v>278.707</v>
      </c>
      <c r="K182" s="9">
        <f t="shared" si="33"/>
        <v>1304.8236666666667</v>
      </c>
      <c r="L182" s="9">
        <f t="shared" si="33"/>
        <v>1758.225</v>
      </c>
    </row>
    <row r="183" spans="1:12" ht="15.75" customHeight="1">
      <c r="A183" s="41" t="s">
        <v>74</v>
      </c>
      <c r="B183" s="41"/>
      <c r="C183" s="42" t="s">
        <v>1</v>
      </c>
      <c r="D183" s="42"/>
      <c r="E183" s="42" t="s">
        <v>2</v>
      </c>
      <c r="F183" s="42"/>
      <c r="G183" s="42" t="s">
        <v>3</v>
      </c>
      <c r="H183" s="42"/>
      <c r="I183" s="42" t="s">
        <v>4</v>
      </c>
      <c r="J183" s="42"/>
      <c r="K183" s="42" t="s">
        <v>5</v>
      </c>
      <c r="L183" s="42"/>
    </row>
    <row r="184" spans="1:12" ht="15.75" customHeight="1">
      <c r="A184" s="41"/>
      <c r="B184" s="41"/>
      <c r="C184" s="24" t="s">
        <v>41</v>
      </c>
      <c r="D184" s="24" t="s">
        <v>42</v>
      </c>
      <c r="E184" s="24" t="s">
        <v>41</v>
      </c>
      <c r="F184" s="24" t="s">
        <v>42</v>
      </c>
      <c r="G184" s="24" t="s">
        <v>41</v>
      </c>
      <c r="H184" s="24" t="s">
        <v>42</v>
      </c>
      <c r="I184" s="24" t="s">
        <v>41</v>
      </c>
      <c r="J184" s="24" t="s">
        <v>42</v>
      </c>
      <c r="K184" s="24" t="s">
        <v>41</v>
      </c>
      <c r="L184" s="24" t="s">
        <v>42</v>
      </c>
    </row>
    <row r="185" spans="1:12" ht="15.75">
      <c r="A185" s="44" t="s">
        <v>6</v>
      </c>
      <c r="B185" s="44"/>
      <c r="C185" s="44"/>
      <c r="D185" s="44"/>
      <c r="E185" s="44"/>
      <c r="F185" s="44"/>
      <c r="G185" s="44"/>
      <c r="H185" s="22"/>
      <c r="I185" s="22"/>
      <c r="J185" s="22"/>
      <c r="K185" s="22"/>
      <c r="L185" s="22"/>
    </row>
    <row r="186" spans="1:12" ht="15.75">
      <c r="A186" s="1">
        <v>1</v>
      </c>
      <c r="B186" s="1" t="s">
        <v>79</v>
      </c>
      <c r="C186" s="2">
        <v>40</v>
      </c>
      <c r="D186" s="2">
        <v>40</v>
      </c>
      <c r="E186" s="5">
        <v>5.32</v>
      </c>
      <c r="F186" s="5">
        <v>5.32</v>
      </c>
      <c r="G186" s="5">
        <v>4.66</v>
      </c>
      <c r="H186" s="29">
        <v>4.66</v>
      </c>
      <c r="I186" s="29">
        <v>0.3</v>
      </c>
      <c r="J186" s="29">
        <v>0.3</v>
      </c>
      <c r="K186" s="29">
        <v>62.8</v>
      </c>
      <c r="L186" s="29">
        <v>62.8</v>
      </c>
    </row>
    <row r="187" spans="1:12" ht="31.5">
      <c r="A187" s="1">
        <v>2</v>
      </c>
      <c r="B187" s="1" t="s">
        <v>90</v>
      </c>
      <c r="C187" s="2">
        <v>100</v>
      </c>
      <c r="D187" s="2">
        <v>150</v>
      </c>
      <c r="E187" s="5">
        <f>3.7*$C$187/25</f>
        <v>14.8</v>
      </c>
      <c r="F187" s="5">
        <f>3.7*$D$187/25</f>
        <v>22.2</v>
      </c>
      <c r="G187" s="5">
        <f>2.34*$C$187/25</f>
        <v>9.36</v>
      </c>
      <c r="H187" s="5">
        <f>2.34*$D$187/25</f>
        <v>14.04</v>
      </c>
      <c r="I187" s="5">
        <f>20.2*$C$187/25</f>
        <v>80.8</v>
      </c>
      <c r="J187" s="5">
        <f>20.2*$D$187/25</f>
        <v>121.2</v>
      </c>
      <c r="K187" s="5">
        <f>100.8*C187/75</f>
        <v>134.4</v>
      </c>
      <c r="L187" s="5">
        <f>100.8*D187/75</f>
        <v>201.6</v>
      </c>
    </row>
    <row r="188" spans="1:12" ht="15.75">
      <c r="A188" s="1">
        <v>3</v>
      </c>
      <c r="B188" s="1" t="s">
        <v>57</v>
      </c>
      <c r="C188" s="2">
        <v>180</v>
      </c>
      <c r="D188" s="2">
        <v>200</v>
      </c>
      <c r="E188" s="5">
        <v>4.28</v>
      </c>
      <c r="F188" s="5">
        <f>250*E188/200</f>
        <v>5.35</v>
      </c>
      <c r="G188" s="5">
        <v>4.8</v>
      </c>
      <c r="H188" s="5">
        <f>250*G188/200</f>
        <v>6</v>
      </c>
      <c r="I188" s="5">
        <v>22</v>
      </c>
      <c r="J188" s="5">
        <f>250*I188/200</f>
        <v>27.5</v>
      </c>
      <c r="K188" s="5">
        <v>143.7</v>
      </c>
      <c r="L188" s="5">
        <f>250*K188/200</f>
        <v>179.625</v>
      </c>
    </row>
    <row r="189" spans="1:12" ht="15.75">
      <c r="A189" s="14">
        <v>4</v>
      </c>
      <c r="B189" s="1" t="s">
        <v>21</v>
      </c>
      <c r="C189" s="7" t="s">
        <v>50</v>
      </c>
      <c r="D189" s="2" t="s">
        <v>51</v>
      </c>
      <c r="E189" s="5">
        <f>F189*$C$50/$D$50</f>
        <v>1.944</v>
      </c>
      <c r="F189" s="5">
        <v>2.16</v>
      </c>
      <c r="G189" s="5">
        <f>H189*$C$50/$D$50</f>
        <v>6.822</v>
      </c>
      <c r="H189" s="5">
        <v>7.58</v>
      </c>
      <c r="I189" s="5">
        <f>J189*$C$50/$D$50</f>
        <v>14.390999999999998</v>
      </c>
      <c r="J189" s="5">
        <v>15.99</v>
      </c>
      <c r="K189" s="5">
        <f>L189*$C$50/$D$50</f>
        <v>135.576</v>
      </c>
      <c r="L189" s="5">
        <v>150.64</v>
      </c>
    </row>
    <row r="190" spans="1:12" ht="15.75" customHeight="1">
      <c r="A190" s="40" t="s">
        <v>9</v>
      </c>
      <c r="B190" s="40"/>
      <c r="C190" s="40"/>
      <c r="D190" s="40"/>
      <c r="E190" s="19">
        <f aca="true" t="shared" si="34" ref="E190:L190">SUM(E186:E189)</f>
        <v>26.344</v>
      </c>
      <c r="F190" s="19">
        <f t="shared" si="34"/>
        <v>35.03</v>
      </c>
      <c r="G190" s="19">
        <f t="shared" si="34"/>
        <v>25.642</v>
      </c>
      <c r="H190" s="19">
        <f t="shared" si="34"/>
        <v>32.28</v>
      </c>
      <c r="I190" s="19">
        <f t="shared" si="34"/>
        <v>117.49099999999999</v>
      </c>
      <c r="J190" s="19">
        <f t="shared" si="34"/>
        <v>164.99</v>
      </c>
      <c r="K190" s="19">
        <f t="shared" si="34"/>
        <v>476.476</v>
      </c>
      <c r="L190" s="19">
        <f t="shared" si="34"/>
        <v>594.665</v>
      </c>
    </row>
    <row r="191" spans="1:12" ht="15.75" customHeight="1">
      <c r="A191" s="39" t="s">
        <v>10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5.75">
      <c r="A192" s="1">
        <v>1</v>
      </c>
      <c r="B192" s="1" t="s">
        <v>46</v>
      </c>
      <c r="C192" s="2">
        <v>100</v>
      </c>
      <c r="D192" s="2">
        <v>100</v>
      </c>
      <c r="E192" s="5">
        <f>0.4*100/150</f>
        <v>0.26666666666666666</v>
      </c>
      <c r="F192" s="5">
        <f>0.4*100/150</f>
        <v>0.26666666666666666</v>
      </c>
      <c r="G192" s="5"/>
      <c r="H192" s="5"/>
      <c r="I192" s="5">
        <f>9.7*100/150</f>
        <v>6.466666666666666</v>
      </c>
      <c r="J192" s="5">
        <f>9.7*100/150</f>
        <v>6.466666666666666</v>
      </c>
      <c r="K192" s="5">
        <f>50*100/150</f>
        <v>33.333333333333336</v>
      </c>
      <c r="L192" s="5">
        <f>50*100/150</f>
        <v>33.333333333333336</v>
      </c>
    </row>
    <row r="193" spans="1:12" ht="15.75" customHeight="1">
      <c r="A193" s="40" t="s">
        <v>9</v>
      </c>
      <c r="B193" s="40"/>
      <c r="C193" s="40"/>
      <c r="D193" s="40"/>
      <c r="E193" s="12">
        <f>SUM(E192)</f>
        <v>0.26666666666666666</v>
      </c>
      <c r="F193" s="12">
        <f>SUM(F192)</f>
        <v>0.26666666666666666</v>
      </c>
      <c r="G193" s="12"/>
      <c r="H193" s="12"/>
      <c r="I193" s="12">
        <f>SUM(I192)</f>
        <v>6.466666666666666</v>
      </c>
      <c r="J193" s="12">
        <f>SUM(J192)</f>
        <v>6.466666666666666</v>
      </c>
      <c r="K193" s="12">
        <f>SUM(K192)</f>
        <v>33.333333333333336</v>
      </c>
      <c r="L193" s="12">
        <f>SUM(L192)</f>
        <v>33.333333333333336</v>
      </c>
    </row>
    <row r="194" spans="1:12" ht="15.75" customHeight="1">
      <c r="A194" s="39" t="s">
        <v>11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31.5">
      <c r="A195" s="1">
        <v>1</v>
      </c>
      <c r="B195" s="20" t="s">
        <v>37</v>
      </c>
      <c r="C195" s="2">
        <v>200</v>
      </c>
      <c r="D195" s="2">
        <v>250</v>
      </c>
      <c r="E195" s="5">
        <v>10.09</v>
      </c>
      <c r="F195" s="5">
        <f>E195*$D$195/$C$195</f>
        <v>12.6125</v>
      </c>
      <c r="G195" s="5">
        <v>2.48</v>
      </c>
      <c r="H195" s="5">
        <f>G195*$D$195/$C$195</f>
        <v>3.1</v>
      </c>
      <c r="I195" s="5">
        <v>18</v>
      </c>
      <c r="J195" s="5">
        <f>I195*$D$195/$C$195</f>
        <v>22.5</v>
      </c>
      <c r="K195" s="5">
        <v>147.2</v>
      </c>
      <c r="L195" s="5">
        <f>K195*$D$195/$C$195</f>
        <v>184</v>
      </c>
    </row>
    <row r="196" spans="1:12" ht="47.25">
      <c r="A196" s="1">
        <v>2</v>
      </c>
      <c r="B196" s="20" t="s">
        <v>75</v>
      </c>
      <c r="C196" s="8">
        <v>80</v>
      </c>
      <c r="D196" s="8">
        <v>110</v>
      </c>
      <c r="E196" s="10">
        <f>F196*$C$196/$D$196</f>
        <v>16.96</v>
      </c>
      <c r="F196" s="10">
        <v>23.32</v>
      </c>
      <c r="G196" s="10">
        <f>H196*$C$196/$D$196</f>
        <v>21.054545454545455</v>
      </c>
      <c r="H196" s="10">
        <v>28.95</v>
      </c>
      <c r="I196" s="10">
        <f>J196*$C$196/$D$196</f>
        <v>3.418181818181818</v>
      </c>
      <c r="J196" s="10">
        <v>4.7</v>
      </c>
      <c r="K196" s="10">
        <v>209.09</v>
      </c>
      <c r="L196" s="10">
        <v>231.25</v>
      </c>
    </row>
    <row r="197" spans="1:12" ht="15.75">
      <c r="A197" s="1">
        <v>3</v>
      </c>
      <c r="B197" s="20" t="s">
        <v>31</v>
      </c>
      <c r="C197" s="2">
        <v>150</v>
      </c>
      <c r="D197" s="2">
        <v>180</v>
      </c>
      <c r="E197" s="5">
        <v>3.19</v>
      </c>
      <c r="F197" s="21">
        <f>E197*$D$59/$C$59</f>
        <v>3.8280000000000003</v>
      </c>
      <c r="G197" s="5">
        <v>6.06</v>
      </c>
      <c r="H197" s="21">
        <f>G197*$D$59/$C$59</f>
        <v>7.271999999999999</v>
      </c>
      <c r="I197" s="5">
        <v>23.29</v>
      </c>
      <c r="J197" s="21">
        <f>I197*$D$59/$C$59</f>
        <v>27.948</v>
      </c>
      <c r="K197" s="5">
        <v>100.45</v>
      </c>
      <c r="L197" s="21">
        <f>K197*$D$59/$C$59</f>
        <v>120.54</v>
      </c>
    </row>
    <row r="198" spans="1:12" ht="15.75">
      <c r="A198" s="1">
        <v>4</v>
      </c>
      <c r="B198" s="1" t="s">
        <v>13</v>
      </c>
      <c r="C198" s="2">
        <v>30</v>
      </c>
      <c r="D198" s="2">
        <v>50</v>
      </c>
      <c r="E198" s="5"/>
      <c r="F198" s="5"/>
      <c r="G198" s="5"/>
      <c r="H198" s="5"/>
      <c r="I198" s="5">
        <v>1.5</v>
      </c>
      <c r="J198" s="5">
        <f>250*I198/200</f>
        <v>1.875</v>
      </c>
      <c r="K198" s="5">
        <v>5.2</v>
      </c>
      <c r="L198" s="5">
        <v>7.5</v>
      </c>
    </row>
    <row r="199" spans="1:12" ht="15.75">
      <c r="A199" s="1">
        <v>5</v>
      </c>
      <c r="B199" s="1" t="s">
        <v>14</v>
      </c>
      <c r="C199" s="2">
        <v>180</v>
      </c>
      <c r="D199" s="2">
        <v>200</v>
      </c>
      <c r="E199" s="5">
        <f>180*0.54/200</f>
        <v>0.486</v>
      </c>
      <c r="F199" s="5">
        <v>0.54</v>
      </c>
      <c r="G199" s="5"/>
      <c r="H199" s="5"/>
      <c r="I199" s="5">
        <f>180*J199/200</f>
        <v>25.065</v>
      </c>
      <c r="J199" s="5">
        <v>27.85</v>
      </c>
      <c r="K199" s="5">
        <f>180*L199/200</f>
        <v>96.93</v>
      </c>
      <c r="L199" s="5">
        <v>107.7</v>
      </c>
    </row>
    <row r="200" spans="1:12" ht="15.75">
      <c r="A200" s="1">
        <v>6</v>
      </c>
      <c r="B200" s="20" t="s">
        <v>15</v>
      </c>
      <c r="C200" s="2">
        <v>40</v>
      </c>
      <c r="D200" s="2">
        <v>50</v>
      </c>
      <c r="E200" s="5">
        <f>C200*2.81/60</f>
        <v>1.8733333333333335</v>
      </c>
      <c r="F200" s="5">
        <f>D200*2.81/60</f>
        <v>2.341666666666667</v>
      </c>
      <c r="G200" s="5">
        <f>C200*0.44/60</f>
        <v>0.29333333333333333</v>
      </c>
      <c r="H200" s="5">
        <f>D200*0.44/60</f>
        <v>0.36666666666666664</v>
      </c>
      <c r="I200" s="5">
        <f>C200*23.52/60</f>
        <v>15.68</v>
      </c>
      <c r="J200" s="5">
        <f>D200*23.52/60</f>
        <v>19.6</v>
      </c>
      <c r="K200" s="5">
        <f>C200*111.56/60</f>
        <v>74.37333333333332</v>
      </c>
      <c r="L200" s="5">
        <f>D200*111.56/60</f>
        <v>92.96666666666667</v>
      </c>
    </row>
    <row r="201" spans="1:12" ht="15.75" customHeight="1">
      <c r="A201" s="40" t="s">
        <v>9</v>
      </c>
      <c r="B201" s="40"/>
      <c r="C201" s="40"/>
      <c r="D201" s="40"/>
      <c r="E201" s="12">
        <f>SUM(E195:E200)</f>
        <v>32.599333333333334</v>
      </c>
      <c r="F201" s="12">
        <f aca="true" t="shared" si="35" ref="F201:L201">SUM(F195:F200)</f>
        <v>42.642166666666675</v>
      </c>
      <c r="G201" s="12">
        <f t="shared" si="35"/>
        <v>29.887878787878787</v>
      </c>
      <c r="H201" s="12">
        <f t="shared" si="35"/>
        <v>39.68866666666666</v>
      </c>
      <c r="I201" s="12">
        <f t="shared" si="35"/>
        <v>86.9531818181818</v>
      </c>
      <c r="J201" s="12">
        <f t="shared" si="35"/>
        <v>104.47299999999998</v>
      </c>
      <c r="K201" s="12">
        <f t="shared" si="35"/>
        <v>633.2433333333332</v>
      </c>
      <c r="L201" s="12">
        <f t="shared" si="35"/>
        <v>743.9566666666667</v>
      </c>
    </row>
    <row r="202" spans="1:12" ht="15.75" customHeight="1">
      <c r="A202" s="39" t="s">
        <v>16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ht="15.75">
      <c r="A203" s="1">
        <v>1</v>
      </c>
      <c r="B203" s="1" t="s">
        <v>77</v>
      </c>
      <c r="C203" s="18">
        <v>150</v>
      </c>
      <c r="D203" s="2">
        <v>180</v>
      </c>
      <c r="E203" s="5">
        <v>2.49</v>
      </c>
      <c r="F203" s="5">
        <f>E203*$D$203/$C$203</f>
        <v>2.9880000000000004</v>
      </c>
      <c r="G203" s="5">
        <v>2.43</v>
      </c>
      <c r="H203" s="5">
        <f>G203*$D$203/$C$203</f>
        <v>2.9160000000000004</v>
      </c>
      <c r="I203" s="29">
        <v>25.2</v>
      </c>
      <c r="J203" s="5">
        <f>I203*$D$203/$C$203</f>
        <v>30.24</v>
      </c>
      <c r="K203" s="21">
        <v>100.1</v>
      </c>
      <c r="L203" s="5">
        <f>K203*$D$203/$C$203</f>
        <v>120.12</v>
      </c>
    </row>
    <row r="204" spans="1:12" ht="15.75">
      <c r="A204" s="1">
        <v>2</v>
      </c>
      <c r="B204" s="1" t="s">
        <v>40</v>
      </c>
      <c r="C204" s="2">
        <v>180</v>
      </c>
      <c r="D204" s="2">
        <v>200</v>
      </c>
      <c r="E204" s="5">
        <f>F204*$C$89/$D$89</f>
        <v>2.511</v>
      </c>
      <c r="F204" s="5">
        <v>2.79</v>
      </c>
      <c r="G204" s="5">
        <f>H204*$C$89/$D$89</f>
        <v>2.8710000000000004</v>
      </c>
      <c r="H204" s="5">
        <v>3.19</v>
      </c>
      <c r="I204" s="5">
        <f>J204*$C$89/$D$89</f>
        <v>17.739</v>
      </c>
      <c r="J204" s="5">
        <v>19.71</v>
      </c>
      <c r="K204" s="5">
        <f>L204*$C$89/$D$89</f>
        <v>106.821</v>
      </c>
      <c r="L204" s="5">
        <v>118.69</v>
      </c>
    </row>
    <row r="205" spans="1:12" ht="15.75" customHeight="1">
      <c r="A205" s="40" t="s">
        <v>9</v>
      </c>
      <c r="B205" s="40"/>
      <c r="C205" s="40"/>
      <c r="D205" s="40"/>
      <c r="E205" s="6">
        <f>SUM(E203:E204)</f>
        <v>5.001</v>
      </c>
      <c r="F205" s="6">
        <f>SUM(F203:F204)</f>
        <v>5.7780000000000005</v>
      </c>
      <c r="G205" s="6">
        <f aca="true" t="shared" si="36" ref="G205:L205">SUM(G203:G204)</f>
        <v>5.301</v>
      </c>
      <c r="H205" s="6">
        <f t="shared" si="36"/>
        <v>6.106</v>
      </c>
      <c r="I205" s="6">
        <f t="shared" si="36"/>
        <v>42.939</v>
      </c>
      <c r="J205" s="6">
        <f t="shared" si="36"/>
        <v>49.95</v>
      </c>
      <c r="K205" s="6">
        <f t="shared" si="36"/>
        <v>206.921</v>
      </c>
      <c r="L205" s="6">
        <f t="shared" si="36"/>
        <v>238.81</v>
      </c>
    </row>
    <row r="206" spans="1:12" ht="15.75" customHeight="1">
      <c r="A206" s="38" t="s">
        <v>18</v>
      </c>
      <c r="B206" s="38"/>
      <c r="C206" s="38"/>
      <c r="D206" s="38"/>
      <c r="E206" s="9">
        <f>E190+E193+E201+E205</f>
        <v>64.211</v>
      </c>
      <c r="F206" s="9">
        <f aca="true" t="shared" si="37" ref="F206:L206">F190+F193+F201+F205</f>
        <v>83.71683333333335</v>
      </c>
      <c r="G206" s="9">
        <f t="shared" si="37"/>
        <v>60.83087878787879</v>
      </c>
      <c r="H206" s="9">
        <f t="shared" si="37"/>
        <v>78.07466666666666</v>
      </c>
      <c r="I206" s="9">
        <f t="shared" si="37"/>
        <v>253.84984848484845</v>
      </c>
      <c r="J206" s="9">
        <f t="shared" si="37"/>
        <v>325.87966666666665</v>
      </c>
      <c r="K206" s="9">
        <f t="shared" si="37"/>
        <v>1349.9736666666665</v>
      </c>
      <c r="L206" s="9">
        <f t="shared" si="37"/>
        <v>1610.7649999999999</v>
      </c>
    </row>
    <row r="207" spans="1:12" ht="15.75" customHeight="1">
      <c r="A207" s="41" t="s">
        <v>76</v>
      </c>
      <c r="B207" s="41"/>
      <c r="C207" s="42" t="s">
        <v>1</v>
      </c>
      <c r="D207" s="42"/>
      <c r="E207" s="42" t="s">
        <v>2</v>
      </c>
      <c r="F207" s="42"/>
      <c r="G207" s="42" t="s">
        <v>3</v>
      </c>
      <c r="H207" s="42"/>
      <c r="I207" s="42" t="s">
        <v>4</v>
      </c>
      <c r="J207" s="42"/>
      <c r="K207" s="42" t="s">
        <v>5</v>
      </c>
      <c r="L207" s="42"/>
    </row>
    <row r="208" spans="1:12" ht="15.75" customHeight="1">
      <c r="A208" s="41"/>
      <c r="B208" s="41"/>
      <c r="C208" s="24" t="s">
        <v>41</v>
      </c>
      <c r="D208" s="24" t="s">
        <v>42</v>
      </c>
      <c r="E208" s="24" t="s">
        <v>41</v>
      </c>
      <c r="F208" s="24" t="s">
        <v>42</v>
      </c>
      <c r="G208" s="24" t="s">
        <v>41</v>
      </c>
      <c r="H208" s="24" t="s">
        <v>42</v>
      </c>
      <c r="I208" s="24" t="s">
        <v>41</v>
      </c>
      <c r="J208" s="24" t="s">
        <v>42</v>
      </c>
      <c r="K208" s="24" t="s">
        <v>41</v>
      </c>
      <c r="L208" s="24" t="s">
        <v>42</v>
      </c>
    </row>
    <row r="209" spans="1:12" ht="15.75">
      <c r="A209" s="1">
        <v>1</v>
      </c>
      <c r="B209" s="1" t="s">
        <v>92</v>
      </c>
      <c r="C209" s="2">
        <v>200</v>
      </c>
      <c r="D209" s="2">
        <v>250</v>
      </c>
      <c r="E209" s="5">
        <v>4.3</v>
      </c>
      <c r="F209" s="5">
        <v>5.3</v>
      </c>
      <c r="G209" s="5">
        <v>9.58</v>
      </c>
      <c r="H209" s="29">
        <v>11.97</v>
      </c>
      <c r="I209" s="29">
        <v>25.5</v>
      </c>
      <c r="J209" s="29">
        <v>31.9</v>
      </c>
      <c r="K209" s="21">
        <v>175.83</v>
      </c>
      <c r="L209" s="29">
        <v>238.85</v>
      </c>
    </row>
    <row r="210" spans="1:12" ht="15.75">
      <c r="A210" s="1">
        <v>2</v>
      </c>
      <c r="B210" s="1" t="s">
        <v>57</v>
      </c>
      <c r="C210" s="2">
        <v>180</v>
      </c>
      <c r="D210" s="2">
        <v>200</v>
      </c>
      <c r="E210" s="5">
        <v>4.28</v>
      </c>
      <c r="F210" s="5">
        <f>250*E210/200</f>
        <v>5.35</v>
      </c>
      <c r="G210" s="5">
        <v>4.8</v>
      </c>
      <c r="H210" s="5">
        <f>250*G210/200</f>
        <v>6</v>
      </c>
      <c r="I210" s="5">
        <v>22</v>
      </c>
      <c r="J210" s="5">
        <f>250*I210/200</f>
        <v>27.5</v>
      </c>
      <c r="K210" s="5">
        <v>143.7</v>
      </c>
      <c r="L210" s="5">
        <f>250*K210/200</f>
        <v>179.625</v>
      </c>
    </row>
    <row r="211" spans="1:12" ht="18" customHeight="1">
      <c r="A211" s="1">
        <v>3</v>
      </c>
      <c r="B211" s="1" t="s">
        <v>8</v>
      </c>
      <c r="C211" s="2" t="s">
        <v>44</v>
      </c>
      <c r="D211" s="2" t="s">
        <v>45</v>
      </c>
      <c r="E211" s="5">
        <v>6.1</v>
      </c>
      <c r="F211" s="5">
        <v>12.8</v>
      </c>
      <c r="G211" s="5">
        <v>14.6</v>
      </c>
      <c r="H211" s="5">
        <v>19.6</v>
      </c>
      <c r="I211" s="5">
        <v>6.7</v>
      </c>
      <c r="J211" s="5">
        <v>7</v>
      </c>
      <c r="K211" s="5">
        <v>164</v>
      </c>
      <c r="L211" s="5">
        <v>204</v>
      </c>
    </row>
    <row r="212" spans="1:12" ht="15.75" customHeight="1">
      <c r="A212" s="40" t="s">
        <v>9</v>
      </c>
      <c r="B212" s="40"/>
      <c r="C212" s="40"/>
      <c r="D212" s="40"/>
      <c r="E212" s="6">
        <f>SUM(E209:E211)</f>
        <v>14.68</v>
      </c>
      <c r="F212" s="6">
        <f aca="true" t="shared" si="38" ref="F212:L212">SUM(F209:F211)</f>
        <v>23.45</v>
      </c>
      <c r="G212" s="6">
        <f t="shared" si="38"/>
        <v>28.979999999999997</v>
      </c>
      <c r="H212" s="6">
        <f t="shared" si="38"/>
        <v>37.57</v>
      </c>
      <c r="I212" s="6">
        <f t="shared" si="38"/>
        <v>54.2</v>
      </c>
      <c r="J212" s="6">
        <f t="shared" si="38"/>
        <v>66.4</v>
      </c>
      <c r="K212" s="6">
        <f t="shared" si="38"/>
        <v>483.53</v>
      </c>
      <c r="L212" s="6">
        <f t="shared" si="38"/>
        <v>622.475</v>
      </c>
    </row>
    <row r="213" spans="1:12" ht="15.75" customHeight="1">
      <c r="A213" s="39" t="s">
        <v>10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ht="15.75">
      <c r="A214" s="1">
        <v>1</v>
      </c>
      <c r="B214" s="1" t="s">
        <v>70</v>
      </c>
      <c r="C214" s="2">
        <v>100</v>
      </c>
      <c r="D214" s="22">
        <v>150</v>
      </c>
      <c r="E214" s="5">
        <f>F214*$C$148/$D$148</f>
        <v>0.4266666666666667</v>
      </c>
      <c r="F214" s="2">
        <v>0.64</v>
      </c>
      <c r="G214" s="22"/>
      <c r="H214" s="22"/>
      <c r="I214" s="5">
        <f>J214*$C$148/$D$148</f>
        <v>10.08</v>
      </c>
      <c r="J214" s="2">
        <v>15.12</v>
      </c>
      <c r="K214" s="5">
        <f>L214*$C$148/$D$148</f>
        <v>43.13999999999999</v>
      </c>
      <c r="L214" s="2">
        <v>64.71</v>
      </c>
    </row>
    <row r="215" spans="1:12" ht="15.75" customHeight="1">
      <c r="A215" s="40" t="s">
        <v>9</v>
      </c>
      <c r="B215" s="40"/>
      <c r="C215" s="40"/>
      <c r="D215" s="40"/>
      <c r="E215" s="6">
        <f>SUM(E214)</f>
        <v>0.4266666666666667</v>
      </c>
      <c r="F215" s="6">
        <f>SUM(F214)</f>
        <v>0.64</v>
      </c>
      <c r="G215" s="6"/>
      <c r="H215" s="6"/>
      <c r="I215" s="6">
        <f>SUM(I214)</f>
        <v>10.08</v>
      </c>
      <c r="J215" s="6">
        <f>SUM(J214)</f>
        <v>15.12</v>
      </c>
      <c r="K215" s="6">
        <f>SUM(K214)</f>
        <v>43.13999999999999</v>
      </c>
      <c r="L215" s="6">
        <f>SUM(L214)</f>
        <v>64.71</v>
      </c>
    </row>
    <row r="216" spans="1:12" ht="15.75" customHeight="1">
      <c r="A216" s="39" t="s">
        <v>11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ht="15.75">
      <c r="A217" s="1">
        <v>1</v>
      </c>
      <c r="B217" s="20" t="s">
        <v>93</v>
      </c>
      <c r="C217" s="2">
        <v>200</v>
      </c>
      <c r="D217" s="2">
        <v>250</v>
      </c>
      <c r="E217" s="5">
        <v>2</v>
      </c>
      <c r="F217" s="5">
        <f>E217*$D$217/$C$217</f>
        <v>2.5</v>
      </c>
      <c r="G217" s="5">
        <v>6.35</v>
      </c>
      <c r="H217" s="5">
        <f>G217*$D$217/$C$217</f>
        <v>7.9375</v>
      </c>
      <c r="I217" s="29">
        <v>18.1</v>
      </c>
      <c r="J217" s="5">
        <f>I217*$D$217/$C$217</f>
        <v>22.625</v>
      </c>
      <c r="K217" s="21">
        <v>97.29</v>
      </c>
      <c r="L217" s="5">
        <f>K217*$D$217/$C$217</f>
        <v>121.6125</v>
      </c>
    </row>
    <row r="218" spans="1:12" ht="15.75">
      <c r="A218" s="1">
        <v>2</v>
      </c>
      <c r="B218" s="1" t="s">
        <v>94</v>
      </c>
      <c r="C218" s="2">
        <v>100</v>
      </c>
      <c r="D218" s="2">
        <v>120</v>
      </c>
      <c r="E218" s="5">
        <f>F218*$C$218/$D$218</f>
        <v>18.066666666666666</v>
      </c>
      <c r="F218" s="5">
        <v>21.68</v>
      </c>
      <c r="G218" s="5">
        <f>H218*$C$218/$D$218</f>
        <v>20.175</v>
      </c>
      <c r="H218" s="29">
        <v>24.21</v>
      </c>
      <c r="I218" s="5">
        <f>J218*$C$218/$D$218</f>
        <v>5.616666666666666</v>
      </c>
      <c r="J218" s="21">
        <v>6.74</v>
      </c>
      <c r="K218" s="5">
        <f>L218*$C$218/$D$218</f>
        <v>192.94166666666666</v>
      </c>
      <c r="L218" s="21">
        <v>231.53</v>
      </c>
    </row>
    <row r="219" spans="1:12" ht="15.75">
      <c r="A219" s="1">
        <v>3</v>
      </c>
      <c r="B219" s="1" t="s">
        <v>64</v>
      </c>
      <c r="C219" s="2">
        <v>150</v>
      </c>
      <c r="D219" s="2">
        <v>180</v>
      </c>
      <c r="E219" s="5">
        <f>4.79*$C$219/130</f>
        <v>5.526923076923077</v>
      </c>
      <c r="F219" s="5">
        <f>4.79*$D$219/130</f>
        <v>6.632307692307693</v>
      </c>
      <c r="G219" s="5">
        <f>4.59*$C$219/130</f>
        <v>5.296153846153846</v>
      </c>
      <c r="H219" s="5">
        <f>4.59*$D$219/130</f>
        <v>6.355384615384615</v>
      </c>
      <c r="I219" s="5">
        <f>30.62*$C$219/130</f>
        <v>35.33076923076923</v>
      </c>
      <c r="J219" s="5">
        <f>30.62*$D$219/130</f>
        <v>42.39692307692308</v>
      </c>
      <c r="K219" s="5">
        <f>132.95*$C$219/130</f>
        <v>153.40384615384616</v>
      </c>
      <c r="L219" s="5">
        <f>132.95*$D$219/130</f>
        <v>184.08461538461535</v>
      </c>
    </row>
    <row r="220" spans="1:12" ht="15.75">
      <c r="A220" s="1">
        <v>4</v>
      </c>
      <c r="B220" s="1" t="s">
        <v>13</v>
      </c>
      <c r="C220" s="2">
        <v>30</v>
      </c>
      <c r="D220" s="2">
        <v>50</v>
      </c>
      <c r="E220" s="5"/>
      <c r="F220" s="5"/>
      <c r="G220" s="5"/>
      <c r="H220" s="5"/>
      <c r="I220" s="5">
        <v>1.5</v>
      </c>
      <c r="J220" s="5">
        <f>250*I220/200</f>
        <v>1.875</v>
      </c>
      <c r="K220" s="5">
        <v>5.2</v>
      </c>
      <c r="L220" s="5">
        <v>7.5</v>
      </c>
    </row>
    <row r="221" spans="1:12" ht="15.75">
      <c r="A221" s="1">
        <v>5</v>
      </c>
      <c r="B221" s="1" t="s">
        <v>26</v>
      </c>
      <c r="C221" s="2">
        <v>180</v>
      </c>
      <c r="D221" s="2">
        <v>200</v>
      </c>
      <c r="E221" s="5">
        <f>F221*$C$38/200</f>
        <v>0.243</v>
      </c>
      <c r="F221" s="5">
        <v>0.27</v>
      </c>
      <c r="G221" s="5"/>
      <c r="H221" s="5"/>
      <c r="I221" s="5">
        <f>30.82*$C$38/200</f>
        <v>27.738000000000003</v>
      </c>
      <c r="J221" s="5">
        <f>30.82*$C$38/200</f>
        <v>27.738000000000003</v>
      </c>
      <c r="K221" s="5"/>
      <c r="L221" s="5">
        <v>124.17</v>
      </c>
    </row>
    <row r="222" spans="1:12" ht="15.75">
      <c r="A222" s="25"/>
      <c r="B222" s="1" t="s">
        <v>33</v>
      </c>
      <c r="C222" s="2">
        <v>40</v>
      </c>
      <c r="D222" s="2">
        <v>60</v>
      </c>
      <c r="E222" s="5">
        <v>4.78</v>
      </c>
      <c r="F222" s="21">
        <f>E222*$C$61/$D$61</f>
        <v>4.3020000000000005</v>
      </c>
      <c r="G222" s="5">
        <v>1.96</v>
      </c>
      <c r="H222" s="21">
        <f>G222*$C$61/$D$61</f>
        <v>1.764</v>
      </c>
      <c r="I222" s="5">
        <v>35.86</v>
      </c>
      <c r="J222" s="21">
        <f>I222*$C$61/$D$61</f>
        <v>32.274</v>
      </c>
      <c r="K222" s="5">
        <f>L222*$C$222/$D$222</f>
        <v>104.26666666666667</v>
      </c>
      <c r="L222" s="21">
        <v>156.4</v>
      </c>
    </row>
    <row r="223" spans="1:12" ht="15.75" customHeight="1">
      <c r="A223" s="40" t="s">
        <v>9</v>
      </c>
      <c r="B223" s="40"/>
      <c r="C223" s="40"/>
      <c r="D223" s="40"/>
      <c r="E223" s="6">
        <f>SUM(E217:E222)</f>
        <v>30.616589743589742</v>
      </c>
      <c r="F223" s="6">
        <f aca="true" t="shared" si="39" ref="F223:L223">SUM(F217:F222)</f>
        <v>35.384307692307694</v>
      </c>
      <c r="G223" s="6">
        <f t="shared" si="39"/>
        <v>33.78115384615384</v>
      </c>
      <c r="H223" s="6">
        <f t="shared" si="39"/>
        <v>40.26688461538462</v>
      </c>
      <c r="I223" s="6">
        <f t="shared" si="39"/>
        <v>124.1454358974359</v>
      </c>
      <c r="J223" s="6">
        <f t="shared" si="39"/>
        <v>133.6489230769231</v>
      </c>
      <c r="K223" s="6">
        <f t="shared" si="39"/>
        <v>553.1021794871796</v>
      </c>
      <c r="L223" s="6">
        <f t="shared" si="39"/>
        <v>825.2971153846153</v>
      </c>
    </row>
    <row r="224" spans="1:12" ht="15.75" customHeight="1">
      <c r="A224" s="39" t="s">
        <v>16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15.75">
      <c r="A225" s="1">
        <v>1</v>
      </c>
      <c r="B225" s="1" t="s">
        <v>95</v>
      </c>
      <c r="C225" s="2">
        <v>150</v>
      </c>
      <c r="D225" s="2">
        <v>180</v>
      </c>
      <c r="E225" s="5">
        <f>2.09*$C$225/100</f>
        <v>3.135</v>
      </c>
      <c r="F225" s="5">
        <f>2.09*$D$225/100</f>
        <v>3.762</v>
      </c>
      <c r="G225" s="5">
        <f>4.69*$C$225/100</f>
        <v>7.035000000000001</v>
      </c>
      <c r="H225" s="5">
        <f>4.69*$D$225/100</f>
        <v>8.442</v>
      </c>
      <c r="I225" s="5">
        <f>18.14*$C$225/100</f>
        <v>27.21</v>
      </c>
      <c r="J225" s="5">
        <f>18.14*$D$225/100</f>
        <v>32.652</v>
      </c>
      <c r="K225" s="5">
        <f>100.64*$C$225/100</f>
        <v>150.96</v>
      </c>
      <c r="L225" s="5">
        <f>100*$D$225/100</f>
        <v>180</v>
      </c>
    </row>
    <row r="226" spans="1:12" ht="15.75">
      <c r="A226" s="1">
        <v>2</v>
      </c>
      <c r="B226" s="1" t="s">
        <v>96</v>
      </c>
      <c r="C226" s="2">
        <v>70</v>
      </c>
      <c r="D226" s="2">
        <v>80</v>
      </c>
      <c r="E226" s="5">
        <f>23.4*$C$226/100</f>
        <v>16.38</v>
      </c>
      <c r="F226" s="5">
        <f>23.4*$D$226/100</f>
        <v>18.72</v>
      </c>
      <c r="G226" s="5">
        <f>12*$C$226/100</f>
        <v>8.4</v>
      </c>
      <c r="H226" s="5">
        <f>12*$D$226/100</f>
        <v>9.6</v>
      </c>
      <c r="I226" s="21"/>
      <c r="J226" s="21"/>
      <c r="K226" s="5">
        <f>200*$C$226/100</f>
        <v>140</v>
      </c>
      <c r="L226" s="5">
        <f>200*$D$226/100</f>
        <v>160</v>
      </c>
    </row>
    <row r="227" spans="1:12" ht="15.75">
      <c r="A227" s="1">
        <v>3</v>
      </c>
      <c r="B227" s="1" t="s">
        <v>57</v>
      </c>
      <c r="C227" s="2">
        <v>180</v>
      </c>
      <c r="D227" s="2">
        <v>200</v>
      </c>
      <c r="E227" s="5">
        <v>4.28</v>
      </c>
      <c r="F227" s="5">
        <f>250*E227/200</f>
        <v>5.35</v>
      </c>
      <c r="G227" s="5">
        <v>4.8</v>
      </c>
      <c r="H227" s="5">
        <f>250*G227/200</f>
        <v>6</v>
      </c>
      <c r="I227" s="5">
        <v>22</v>
      </c>
      <c r="J227" s="5">
        <f>250*I227/200</f>
        <v>27.5</v>
      </c>
      <c r="K227" s="5">
        <v>143.7</v>
      </c>
      <c r="L227" s="5">
        <f>250*K227/200</f>
        <v>179.625</v>
      </c>
    </row>
    <row r="228" spans="1:12" ht="15.75">
      <c r="A228" s="1">
        <v>4</v>
      </c>
      <c r="B228" s="20" t="s">
        <v>15</v>
      </c>
      <c r="C228" s="2">
        <v>40</v>
      </c>
      <c r="D228" s="2">
        <v>50</v>
      </c>
      <c r="E228" s="5">
        <f>C228*2.81/60</f>
        <v>1.8733333333333335</v>
      </c>
      <c r="F228" s="5">
        <f>D228*2.81/60</f>
        <v>2.341666666666667</v>
      </c>
      <c r="G228" s="5">
        <f>C228*0.44/60</f>
        <v>0.29333333333333333</v>
      </c>
      <c r="H228" s="5">
        <f>D228*0.44/60</f>
        <v>0.36666666666666664</v>
      </c>
      <c r="I228" s="5">
        <f>C228*23.52/60</f>
        <v>15.68</v>
      </c>
      <c r="J228" s="5">
        <f>D228*23.52/60</f>
        <v>19.6</v>
      </c>
      <c r="K228" s="5">
        <f>C228*111.56/60</f>
        <v>74.37333333333332</v>
      </c>
      <c r="L228" s="5">
        <f>D228*111.56/60</f>
        <v>92.96666666666667</v>
      </c>
    </row>
    <row r="229" spans="1:12" ht="15.75" customHeight="1">
      <c r="A229" s="40" t="s">
        <v>9</v>
      </c>
      <c r="B229" s="40"/>
      <c r="C229" s="40"/>
      <c r="D229" s="40"/>
      <c r="E229" s="6">
        <f>SUM(E225:E228)</f>
        <v>25.668333333333337</v>
      </c>
      <c r="F229" s="6">
        <f aca="true" t="shared" si="40" ref="F229:L229">SUM(F225:F228)</f>
        <v>30.17366666666667</v>
      </c>
      <c r="G229" s="6">
        <f t="shared" si="40"/>
        <v>20.528333333333336</v>
      </c>
      <c r="H229" s="6">
        <f t="shared" si="40"/>
        <v>24.40866666666667</v>
      </c>
      <c r="I229" s="6">
        <f t="shared" si="40"/>
        <v>64.89</v>
      </c>
      <c r="J229" s="6">
        <f t="shared" si="40"/>
        <v>79.75200000000001</v>
      </c>
      <c r="K229" s="6">
        <f t="shared" si="40"/>
        <v>509.03333333333336</v>
      </c>
      <c r="L229" s="6">
        <f t="shared" si="40"/>
        <v>612.5916666666667</v>
      </c>
    </row>
    <row r="230" spans="1:12" ht="15.75" customHeight="1">
      <c r="A230" s="38" t="s">
        <v>18</v>
      </c>
      <c r="B230" s="38"/>
      <c r="C230" s="38"/>
      <c r="D230" s="38"/>
      <c r="E230" s="9">
        <f>E212+E215+E223+E229</f>
        <v>71.39158974358975</v>
      </c>
      <c r="F230" s="9">
        <f aca="true" t="shared" si="41" ref="F230:L230">F212+F215+F223+F229</f>
        <v>89.64797435897435</v>
      </c>
      <c r="G230" s="9">
        <f t="shared" si="41"/>
        <v>83.28948717948717</v>
      </c>
      <c r="H230" s="9">
        <f t="shared" si="41"/>
        <v>102.24555128205128</v>
      </c>
      <c r="I230" s="9">
        <f t="shared" si="41"/>
        <v>253.31543589743592</v>
      </c>
      <c r="J230" s="9">
        <f t="shared" si="41"/>
        <v>294.92092307692315</v>
      </c>
      <c r="K230" s="9">
        <f t="shared" si="41"/>
        <v>1588.8055128205128</v>
      </c>
      <c r="L230" s="9">
        <f t="shared" si="41"/>
        <v>2125.0737820512823</v>
      </c>
    </row>
    <row r="231" spans="1:12" ht="15.75" customHeight="1">
      <c r="A231" s="38" t="s">
        <v>78</v>
      </c>
      <c r="B231" s="38"/>
      <c r="C231" s="38"/>
      <c r="D231" s="38"/>
      <c r="E231" s="9">
        <f>E22+E45+E68+E92+E117+E139+E160+E182+E206+E230</f>
        <v>566.157657925408</v>
      </c>
      <c r="F231" s="9">
        <f aca="true" t="shared" si="42" ref="F231:L231">F22+F45+F68+F92+F117+F139+F160+F182+F206+F230</f>
        <v>691.5580371295372</v>
      </c>
      <c r="G231" s="9">
        <f t="shared" si="42"/>
        <v>592.1569682400933</v>
      </c>
      <c r="H231" s="9">
        <f t="shared" si="42"/>
        <v>725.6874951402765</v>
      </c>
      <c r="I231" s="9">
        <f t="shared" si="42"/>
        <v>2246.4779025167545</v>
      </c>
      <c r="J231" s="9">
        <f t="shared" si="42"/>
        <v>2641.944951426828</v>
      </c>
      <c r="K231" s="9">
        <f t="shared" si="42"/>
        <v>14000.003364545772</v>
      </c>
      <c r="L231" s="9">
        <f t="shared" si="42"/>
        <v>18000.004816404828</v>
      </c>
    </row>
    <row r="232" spans="1:12" ht="15.75">
      <c r="A232" s="28"/>
      <c r="B232" s="28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5.75">
      <c r="A233" s="28"/>
      <c r="B233" s="28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ht="15.75">
      <c r="A234" s="28"/>
      <c r="B234" s="28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15.75">
      <c r="A235" s="28"/>
      <c r="B235" s="28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ht="15.75">
      <c r="A236" s="28"/>
      <c r="B236" s="28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5.75">
      <c r="A237" s="28"/>
      <c r="B237" s="28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5.75">
      <c r="A238" s="28"/>
      <c r="B238" s="28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5.75">
      <c r="A239" s="28"/>
      <c r="B239" s="28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5.75">
      <c r="A240" s="28"/>
      <c r="B240" s="28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5.75">
      <c r="A241" s="28"/>
      <c r="B241" s="28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5.75">
      <c r="A242" s="28"/>
      <c r="B242" s="28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5.75">
      <c r="A243" s="28"/>
      <c r="B243" s="28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ht="15.75">
      <c r="A244" s="28"/>
      <c r="B244" s="28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15.75">
      <c r="A245" s="28"/>
      <c r="B245" s="28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15.75">
      <c r="A246" s="28"/>
      <c r="B246" s="28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5.75">
      <c r="A247" s="28"/>
      <c r="B247" s="28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ht="15.75">
      <c r="A248" s="28"/>
      <c r="B248" s="28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15.75">
      <c r="A249" s="28"/>
      <c r="B249" s="28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ht="15.75">
      <c r="A250" s="28"/>
      <c r="B250" s="28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15.75">
      <c r="A251" s="28"/>
      <c r="B251" s="28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ht="15.75">
      <c r="A252" s="28"/>
      <c r="B252" s="28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15.75">
      <c r="A253" s="28"/>
      <c r="B253" s="28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15.75">
      <c r="A254" s="28"/>
      <c r="B254" s="28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15.75">
      <c r="A255" s="28"/>
      <c r="B255" s="28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5.75">
      <c r="A256" s="28"/>
      <c r="B256" s="28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15.75">
      <c r="A257" s="28"/>
      <c r="B257" s="28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ht="15.75">
      <c r="A258" s="28"/>
      <c r="B258" s="28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15.75">
      <c r="A259" s="28"/>
      <c r="B259" s="28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ht="15.75">
      <c r="A260" s="28"/>
      <c r="B260" s="28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15.75">
      <c r="A261" s="28"/>
      <c r="B261" s="28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15.75">
      <c r="A262" s="28"/>
      <c r="B262" s="28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5.75">
      <c r="A263" s="28"/>
      <c r="B263" s="28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ht="15.75">
      <c r="A264" s="28"/>
      <c r="B264" s="28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15.75">
      <c r="A265" s="28"/>
      <c r="B265" s="28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ht="15.75">
      <c r="A266" s="28"/>
      <c r="B266" s="28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15.75">
      <c r="A267" s="28"/>
      <c r="B267" s="28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ht="15.75">
      <c r="A268" s="28"/>
      <c r="B268" s="28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15.75">
      <c r="A269" s="28"/>
      <c r="B269" s="28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15.75">
      <c r="A270" s="28"/>
      <c r="B270" s="28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5.75">
      <c r="A271" s="28"/>
      <c r="B271" s="28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ht="15.75">
      <c r="A272" s="28"/>
      <c r="B272" s="28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15.75">
      <c r="A273" s="28"/>
      <c r="B273" s="28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ht="15.75">
      <c r="A274" s="28"/>
      <c r="B274" s="28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15.75">
      <c r="A275" s="28"/>
      <c r="B275" s="28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ht="15.75">
      <c r="A276" s="28"/>
      <c r="B276" s="28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15.75">
      <c r="A277" s="28"/>
      <c r="B277" s="28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ht="15.75">
      <c r="A278" s="28"/>
      <c r="B278" s="28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15.75">
      <c r="A279" s="28"/>
      <c r="B279" s="28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ht="15.75">
      <c r="A280" s="28"/>
      <c r="B280" s="28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15.75">
      <c r="A281" s="28"/>
      <c r="B281" s="28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ht="15.75">
      <c r="A282" s="28"/>
      <c r="B282" s="28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15.75">
      <c r="A283" s="28"/>
      <c r="B283" s="28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ht="15.75">
      <c r="A284" s="28"/>
      <c r="B284" s="28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15.75">
      <c r="A285" s="28"/>
      <c r="B285" s="28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ht="15.75">
      <c r="A286" s="28"/>
      <c r="B286" s="28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5.75">
      <c r="A287" s="28"/>
      <c r="B287" s="28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5.75">
      <c r="A288" s="28"/>
      <c r="B288" s="28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15.75">
      <c r="A289" s="28"/>
      <c r="B289" s="28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ht="15.75">
      <c r="A290" s="28"/>
      <c r="B290" s="28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ht="15.75">
      <c r="A291" s="28"/>
      <c r="B291" s="28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ht="15.75">
      <c r="A292" s="28"/>
      <c r="B292" s="28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15.75">
      <c r="A293" s="28"/>
      <c r="B293" s="28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ht="15.75">
      <c r="A294" s="28"/>
      <c r="B294" s="28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15.75">
      <c r="A295" s="28"/>
      <c r="B295" s="28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ht="15.75">
      <c r="A296" s="28"/>
      <c r="B296" s="28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15.75">
      <c r="A297" s="28"/>
      <c r="B297" s="28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ht="15.75">
      <c r="A298" s="28"/>
      <c r="B298" s="28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15.75">
      <c r="A299" s="28"/>
      <c r="B299" s="28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ht="15.75">
      <c r="A300" s="28"/>
      <c r="B300" s="28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15.75">
      <c r="A301" s="28"/>
      <c r="B301" s="28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ht="15.75">
      <c r="A302" s="28"/>
      <c r="B302" s="28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15.75">
      <c r="A303" s="28"/>
      <c r="B303" s="28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5.75">
      <c r="A304" s="28"/>
      <c r="B304" s="28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5.75">
      <c r="A305" s="28"/>
      <c r="B305" s="28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ht="15.75">
      <c r="A306" s="28"/>
      <c r="B306" s="28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15.75">
      <c r="A307" s="28"/>
      <c r="B307" s="28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ht="15.75">
      <c r="A308" s="28"/>
      <c r="B308" s="28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15.75">
      <c r="A309" s="28"/>
      <c r="B309" s="28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ht="15.75">
      <c r="A310" s="28"/>
      <c r="B310" s="28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5.75">
      <c r="A311" s="28"/>
      <c r="B311" s="28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ht="15.75">
      <c r="A312" s="28"/>
      <c r="B312" s="28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15.75">
      <c r="A313" s="28"/>
      <c r="B313" s="28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ht="15.75">
      <c r="A314" s="28"/>
      <c r="B314" s="28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15.75">
      <c r="A315" s="28"/>
      <c r="B315" s="28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5.75">
      <c r="A316" s="28"/>
      <c r="B316" s="28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15.75">
      <c r="A317" s="28"/>
      <c r="B317" s="28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ht="15.75">
      <c r="A318" s="28"/>
      <c r="B318" s="28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15.75">
      <c r="A319" s="28"/>
      <c r="B319" s="28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15.75">
      <c r="A320" s="28"/>
      <c r="B320" s="28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5.75">
      <c r="A321" s="28"/>
      <c r="B321" s="28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5.75">
      <c r="A322" s="28"/>
      <c r="B322" s="28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5.75">
      <c r="A323" s="28"/>
      <c r="B323" s="28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5.75">
      <c r="A324" s="28"/>
      <c r="B324" s="28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5.75">
      <c r="A325" s="28"/>
      <c r="B325" s="28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5.75">
      <c r="A326" s="28"/>
      <c r="B326" s="28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5.75">
      <c r="A327" s="28"/>
      <c r="B327" s="28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5.75">
      <c r="A328" s="28"/>
      <c r="B328" s="28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5.75">
      <c r="A329" s="28"/>
      <c r="B329" s="28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5.75">
      <c r="A330" s="28"/>
      <c r="B330" s="28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5.75">
      <c r="A331" s="28"/>
      <c r="B331" s="28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5.75">
      <c r="A332" s="28"/>
      <c r="B332" s="28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5.75">
      <c r="A333" s="28"/>
      <c r="B333" s="28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5.75">
      <c r="A334" s="28"/>
      <c r="B334" s="28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5.75">
      <c r="A335" s="28"/>
      <c r="B335" s="28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5.75">
      <c r="A336" s="28"/>
      <c r="B336" s="28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5.75">
      <c r="A337" s="28"/>
      <c r="B337" s="28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5.75">
      <c r="A338" s="28"/>
      <c r="B338" s="28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5.75">
      <c r="A339" s="28"/>
      <c r="B339" s="28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5.75">
      <c r="A340" s="28"/>
      <c r="B340" s="28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5.75">
      <c r="A341" s="28"/>
      <c r="B341" s="28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5.75">
      <c r="A342" s="28"/>
      <c r="B342" s="28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5.75">
      <c r="A343" s="28"/>
      <c r="B343" s="28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5.75">
      <c r="A344" s="28"/>
      <c r="B344" s="28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5.75">
      <c r="A345" s="28"/>
      <c r="B345" s="28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5.75">
      <c r="A346" s="28"/>
      <c r="B346" s="28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5.75">
      <c r="A347" s="28"/>
      <c r="B347" s="28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5.75">
      <c r="A348" s="28"/>
      <c r="B348" s="28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5.75">
      <c r="A349" s="28"/>
      <c r="B349" s="28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5.75">
      <c r="A350" s="28"/>
      <c r="B350" s="28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5.75">
      <c r="A351" s="28"/>
      <c r="B351" s="28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5.75">
      <c r="A352" s="28"/>
      <c r="B352" s="28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5.75">
      <c r="A353" s="28"/>
      <c r="B353" s="28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5.75">
      <c r="A354" s="28"/>
      <c r="B354" s="28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5.75">
      <c r="A355" s="28"/>
      <c r="B355" s="28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5.75">
      <c r="A356" s="28"/>
      <c r="B356" s="28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5.75">
      <c r="A357" s="28"/>
      <c r="B357" s="28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5.75">
      <c r="A358" s="28"/>
      <c r="B358" s="28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5.75">
      <c r="A359" s="28"/>
      <c r="B359" s="28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5.75">
      <c r="A360" s="28"/>
      <c r="B360" s="28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5.75">
      <c r="A361" s="28"/>
      <c r="B361" s="28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5.75">
      <c r="A362" s="28"/>
      <c r="B362" s="28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5.75">
      <c r="A363" s="28"/>
      <c r="B363" s="28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5.75">
      <c r="A364" s="28"/>
      <c r="B364" s="28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5.75">
      <c r="A365" s="28"/>
      <c r="B365" s="28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5.75">
      <c r="A366" s="28"/>
      <c r="B366" s="28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5.75">
      <c r="A367" s="28"/>
      <c r="B367" s="28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5.75">
      <c r="A368" s="28"/>
      <c r="B368" s="28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5.75">
      <c r="A369" s="28"/>
      <c r="B369" s="28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5.75">
      <c r="A370" s="28"/>
      <c r="B370" s="28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5.75">
      <c r="A371" s="28"/>
      <c r="B371" s="28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5.75">
      <c r="A372" s="28"/>
      <c r="B372" s="28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5.75">
      <c r="A373" s="28"/>
      <c r="B373" s="28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5.75">
      <c r="A374" s="28"/>
      <c r="B374" s="28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5.75">
      <c r="A375" s="28"/>
      <c r="B375" s="28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5.75">
      <c r="A376" s="28"/>
      <c r="B376" s="28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5.75">
      <c r="A377" s="28"/>
      <c r="B377" s="28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5.75">
      <c r="A378" s="28"/>
      <c r="B378" s="28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5.75">
      <c r="A379" s="28"/>
      <c r="B379" s="28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5.75">
      <c r="A380" s="28"/>
      <c r="B380" s="28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15.75">
      <c r="A381" s="28"/>
      <c r="B381" s="28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ht="15.75">
      <c r="A382" s="28"/>
      <c r="B382" s="28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15.75">
      <c r="A383" s="28"/>
      <c r="B383" s="28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ht="15.75">
      <c r="A384" s="28"/>
      <c r="B384" s="28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15.75">
      <c r="A385" s="28"/>
      <c r="B385" s="28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ht="15.75">
      <c r="A386" s="28"/>
      <c r="B386" s="28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5.75">
      <c r="A387" s="28"/>
      <c r="B387" s="28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5.75">
      <c r="A388" s="28"/>
      <c r="B388" s="28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5.75">
      <c r="A389" s="28"/>
      <c r="B389" s="28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5.75">
      <c r="A390" s="28"/>
      <c r="B390" s="28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5.75">
      <c r="A391" s="28"/>
      <c r="B391" s="28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5.75">
      <c r="A392" s="28"/>
      <c r="B392" s="28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5.75">
      <c r="A393" s="28"/>
      <c r="B393" s="28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5.75">
      <c r="A394" s="28"/>
      <c r="B394" s="28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5.75">
      <c r="A395" s="28"/>
      <c r="B395" s="28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5.75">
      <c r="A396" s="28"/>
      <c r="B396" s="28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5.75">
      <c r="A397" s="28"/>
      <c r="B397" s="28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5.75">
      <c r="A398" s="28"/>
      <c r="B398" s="28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5.75">
      <c r="A399" s="28"/>
      <c r="B399" s="28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5.75">
      <c r="A400" s="28"/>
      <c r="B400" s="28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15.75">
      <c r="A401" s="28"/>
      <c r="B401" s="28"/>
      <c r="C401" s="30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ht="15.75">
      <c r="A402" s="28"/>
      <c r="B402" s="28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15.75">
      <c r="A403" s="28"/>
      <c r="B403" s="28"/>
      <c r="C403" s="30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ht="15.75">
      <c r="A404" s="28"/>
      <c r="B404" s="28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ht="15.75">
      <c r="A405" s="28"/>
      <c r="B405" s="28"/>
      <c r="C405" s="30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ht="15.75">
      <c r="A406" s="28"/>
      <c r="B406" s="28"/>
      <c r="C406" s="30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ht="15.75">
      <c r="A407" s="28"/>
      <c r="B407" s="28"/>
      <c r="C407" s="30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ht="15.75">
      <c r="A408" s="28"/>
      <c r="B408" s="28"/>
      <c r="C408" s="30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ht="15.75">
      <c r="A409" s="28"/>
      <c r="B409" s="28"/>
      <c r="C409" s="30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ht="15.75">
      <c r="A410" s="28"/>
      <c r="B410" s="28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ht="15.75">
      <c r="A411" s="28"/>
      <c r="B411" s="28"/>
      <c r="C411" s="30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ht="15.75">
      <c r="A412" s="28"/>
      <c r="B412" s="28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15.75">
      <c r="A413" s="28"/>
      <c r="B413" s="28"/>
      <c r="C413" s="30"/>
      <c r="D413" s="30"/>
      <c r="E413" s="30"/>
      <c r="F413" s="30"/>
      <c r="G413" s="30"/>
      <c r="H413" s="30"/>
      <c r="I413" s="30"/>
      <c r="J413" s="30"/>
      <c r="K413" s="30"/>
      <c r="L413" s="30"/>
    </row>
    <row r="414" spans="1:12" ht="15.75">
      <c r="A414" s="28"/>
      <c r="B414" s="28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15.75">
      <c r="A415" s="28"/>
      <c r="B415" s="28"/>
      <c r="C415" s="30"/>
      <c r="D415" s="30"/>
      <c r="E415" s="30"/>
      <c r="F415" s="30"/>
      <c r="G415" s="30"/>
      <c r="H415" s="30"/>
      <c r="I415" s="30"/>
      <c r="J415" s="30"/>
      <c r="K415" s="30"/>
      <c r="L415" s="30"/>
    </row>
    <row r="416" spans="1:12" ht="15.75">
      <c r="A416" s="28"/>
      <c r="B416" s="28"/>
      <c r="C416" s="30"/>
      <c r="D416" s="30"/>
      <c r="E416" s="30"/>
      <c r="F416" s="30"/>
      <c r="G416" s="30"/>
      <c r="H416" s="30"/>
      <c r="I416" s="30"/>
      <c r="J416" s="30"/>
      <c r="K416" s="30"/>
      <c r="L416" s="30"/>
    </row>
    <row r="417" spans="1:12" ht="15.75">
      <c r="A417" s="28"/>
      <c r="B417" s="28"/>
      <c r="C417" s="30"/>
      <c r="D417" s="30"/>
      <c r="E417" s="30"/>
      <c r="F417" s="30"/>
      <c r="G417" s="30"/>
      <c r="H417" s="30"/>
      <c r="I417" s="30"/>
      <c r="J417" s="30"/>
      <c r="K417" s="30"/>
      <c r="L417" s="30"/>
    </row>
    <row r="418" spans="1:12" ht="15.75">
      <c r="A418" s="28"/>
      <c r="B418" s="28"/>
      <c r="C418" s="30"/>
      <c r="D418" s="30"/>
      <c r="E418" s="30"/>
      <c r="F418" s="30"/>
      <c r="G418" s="30"/>
      <c r="H418" s="30"/>
      <c r="I418" s="30"/>
      <c r="J418" s="30"/>
      <c r="K418" s="30"/>
      <c r="L418" s="30"/>
    </row>
    <row r="419" spans="1:12" ht="15.75">
      <c r="A419" s="28"/>
      <c r="B419" s="28"/>
      <c r="C419" s="30"/>
      <c r="D419" s="30"/>
      <c r="E419" s="30"/>
      <c r="F419" s="30"/>
      <c r="G419" s="30"/>
      <c r="H419" s="30"/>
      <c r="I419" s="30"/>
      <c r="J419" s="30"/>
      <c r="K419" s="30"/>
      <c r="L419" s="30"/>
    </row>
    <row r="420" spans="1:12" ht="15.75">
      <c r="A420" s="28"/>
      <c r="B420" s="28"/>
      <c r="C420" s="30"/>
      <c r="D420" s="30"/>
      <c r="E420" s="30"/>
      <c r="F420" s="30"/>
      <c r="G420" s="30"/>
      <c r="H420" s="30"/>
      <c r="I420" s="30"/>
      <c r="J420" s="30"/>
      <c r="K420" s="30"/>
      <c r="L420" s="30"/>
    </row>
    <row r="421" spans="1:12" ht="15.75">
      <c r="A421" s="28"/>
      <c r="B421" s="28"/>
      <c r="C421" s="30"/>
      <c r="D421" s="30"/>
      <c r="E421" s="30"/>
      <c r="F421" s="30"/>
      <c r="G421" s="30"/>
      <c r="H421" s="30"/>
      <c r="I421" s="30"/>
      <c r="J421" s="30"/>
      <c r="K421" s="30"/>
      <c r="L421" s="30"/>
    </row>
    <row r="422" spans="1:12" ht="15.75">
      <c r="A422" s="28"/>
      <c r="B422" s="28"/>
      <c r="C422" s="30"/>
      <c r="D422" s="30"/>
      <c r="E422" s="30"/>
      <c r="F422" s="30"/>
      <c r="G422" s="30"/>
      <c r="H422" s="30"/>
      <c r="I422" s="30"/>
      <c r="J422" s="30"/>
      <c r="K422" s="30"/>
      <c r="L422" s="30"/>
    </row>
    <row r="423" spans="1:12" ht="15.75">
      <c r="A423" s="28"/>
      <c r="B423" s="28"/>
      <c r="C423" s="30"/>
      <c r="D423" s="30"/>
      <c r="E423" s="30"/>
      <c r="F423" s="30"/>
      <c r="G423" s="30"/>
      <c r="H423" s="30"/>
      <c r="I423" s="30"/>
      <c r="J423" s="30"/>
      <c r="K423" s="30"/>
      <c r="L423" s="30"/>
    </row>
    <row r="424" spans="1:12" ht="15.75">
      <c r="A424" s="28"/>
      <c r="B424" s="28"/>
      <c r="C424" s="30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1:12" ht="15.75">
      <c r="A425" s="28"/>
      <c r="B425" s="28"/>
      <c r="C425" s="30"/>
      <c r="D425" s="30"/>
      <c r="E425" s="30"/>
      <c r="F425" s="30"/>
      <c r="G425" s="30"/>
      <c r="H425" s="30"/>
      <c r="I425" s="30"/>
      <c r="J425" s="30"/>
      <c r="K425" s="30"/>
      <c r="L425" s="30"/>
    </row>
    <row r="426" spans="1:12" ht="15.75">
      <c r="A426" s="28"/>
      <c r="B426" s="28"/>
      <c r="C426" s="30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ht="15.75">
      <c r="A427" s="28"/>
      <c r="B427" s="28"/>
      <c r="C427" s="30"/>
      <c r="D427" s="30"/>
      <c r="E427" s="30"/>
      <c r="F427" s="30"/>
      <c r="G427" s="30"/>
      <c r="H427" s="30"/>
      <c r="I427" s="30"/>
      <c r="J427" s="30"/>
      <c r="K427" s="30"/>
      <c r="L427" s="30"/>
    </row>
    <row r="428" spans="1:12" ht="15.75">
      <c r="A428" s="28"/>
      <c r="B428" s="28"/>
      <c r="C428" s="30"/>
      <c r="D428" s="30"/>
      <c r="E428" s="30"/>
      <c r="F428" s="30"/>
      <c r="G428" s="30"/>
      <c r="H428" s="30"/>
      <c r="I428" s="30"/>
      <c r="J428" s="30"/>
      <c r="K428" s="30"/>
      <c r="L428" s="30"/>
    </row>
    <row r="429" spans="1:12" ht="15.75">
      <c r="A429" s="28"/>
      <c r="B429" s="28"/>
      <c r="C429" s="30"/>
      <c r="D429" s="30"/>
      <c r="E429" s="30"/>
      <c r="F429" s="30"/>
      <c r="G429" s="30"/>
      <c r="H429" s="30"/>
      <c r="I429" s="30"/>
      <c r="J429" s="30"/>
      <c r="K429" s="30"/>
      <c r="L429" s="30"/>
    </row>
    <row r="430" spans="1:12" ht="15.75">
      <c r="A430" s="28"/>
      <c r="B430" s="28"/>
      <c r="C430" s="30"/>
      <c r="D430" s="30"/>
      <c r="E430" s="30"/>
      <c r="F430" s="30"/>
      <c r="G430" s="30"/>
      <c r="H430" s="30"/>
      <c r="I430" s="30"/>
      <c r="J430" s="30"/>
      <c r="K430" s="30"/>
      <c r="L430" s="30"/>
    </row>
    <row r="431" spans="1:12" ht="15.75">
      <c r="A431" s="28"/>
      <c r="B431" s="28"/>
      <c r="C431" s="30"/>
      <c r="D431" s="30"/>
      <c r="E431" s="30"/>
      <c r="F431" s="30"/>
      <c r="G431" s="30"/>
      <c r="H431" s="30"/>
      <c r="I431" s="30"/>
      <c r="J431" s="30"/>
      <c r="K431" s="30"/>
      <c r="L431" s="30"/>
    </row>
    <row r="432" spans="1:12" ht="15.75">
      <c r="A432" s="28"/>
      <c r="B432" s="28"/>
      <c r="C432" s="30"/>
      <c r="D432" s="30"/>
      <c r="E432" s="30"/>
      <c r="F432" s="30"/>
      <c r="G432" s="30"/>
      <c r="H432" s="30"/>
      <c r="I432" s="30"/>
      <c r="J432" s="30"/>
      <c r="K432" s="30"/>
      <c r="L432" s="30"/>
    </row>
    <row r="433" spans="1:12" ht="15.75">
      <c r="A433" s="28"/>
      <c r="B433" s="28"/>
      <c r="C433" s="30"/>
      <c r="D433" s="30"/>
      <c r="E433" s="30"/>
      <c r="F433" s="30"/>
      <c r="G433" s="30"/>
      <c r="H433" s="30"/>
      <c r="I433" s="30"/>
      <c r="J433" s="30"/>
      <c r="K433" s="30"/>
      <c r="L433" s="30"/>
    </row>
    <row r="434" spans="1:12" ht="15.75">
      <c r="A434" s="28"/>
      <c r="B434" s="28"/>
      <c r="C434" s="30"/>
      <c r="D434" s="30"/>
      <c r="E434" s="30"/>
      <c r="F434" s="30"/>
      <c r="G434" s="30"/>
      <c r="H434" s="30"/>
      <c r="I434" s="30"/>
      <c r="J434" s="30"/>
      <c r="K434" s="30"/>
      <c r="L434" s="30"/>
    </row>
    <row r="435" spans="1:12" ht="15.75">
      <c r="A435" s="28"/>
      <c r="B435" s="28"/>
      <c r="C435" s="30"/>
      <c r="D435" s="30"/>
      <c r="E435" s="30"/>
      <c r="F435" s="30"/>
      <c r="G435" s="30"/>
      <c r="H435" s="30"/>
      <c r="I435" s="30"/>
      <c r="J435" s="30"/>
      <c r="K435" s="30"/>
      <c r="L435" s="30"/>
    </row>
    <row r="436" spans="1:12" ht="15.75">
      <c r="A436" s="28"/>
      <c r="B436" s="28"/>
      <c r="C436" s="30"/>
      <c r="D436" s="30"/>
      <c r="E436" s="30"/>
      <c r="F436" s="30"/>
      <c r="G436" s="30"/>
      <c r="H436" s="30"/>
      <c r="I436" s="30"/>
      <c r="J436" s="30"/>
      <c r="K436" s="30"/>
      <c r="L436" s="30"/>
    </row>
    <row r="437" spans="1:12" ht="15.75">
      <c r="A437" s="28"/>
      <c r="B437" s="28"/>
      <c r="C437" s="30"/>
      <c r="D437" s="30"/>
      <c r="E437" s="30"/>
      <c r="F437" s="30"/>
      <c r="G437" s="30"/>
      <c r="H437" s="30"/>
      <c r="I437" s="30"/>
      <c r="J437" s="30"/>
      <c r="K437" s="30"/>
      <c r="L437" s="30"/>
    </row>
    <row r="438" spans="1:12" ht="15.75">
      <c r="A438" s="28"/>
      <c r="B438" s="28"/>
      <c r="C438" s="30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1:12" ht="15.75">
      <c r="A439" s="28"/>
      <c r="B439" s="28"/>
      <c r="C439" s="30"/>
      <c r="D439" s="30"/>
      <c r="E439" s="30"/>
      <c r="F439" s="30"/>
      <c r="G439" s="30"/>
      <c r="H439" s="30"/>
      <c r="I439" s="30"/>
      <c r="J439" s="30"/>
      <c r="K439" s="30"/>
      <c r="L439" s="30"/>
    </row>
    <row r="440" spans="1:12" ht="15.75">
      <c r="A440" s="28"/>
      <c r="B440" s="28"/>
      <c r="C440" s="30"/>
      <c r="D440" s="30"/>
      <c r="E440" s="30"/>
      <c r="F440" s="30"/>
      <c r="G440" s="30"/>
      <c r="H440" s="30"/>
      <c r="I440" s="30"/>
      <c r="J440" s="30"/>
      <c r="K440" s="30"/>
      <c r="L440" s="30"/>
    </row>
    <row r="441" spans="1:12" ht="15.75">
      <c r="A441" s="28"/>
      <c r="B441" s="28"/>
      <c r="C441" s="30"/>
      <c r="D441" s="30"/>
      <c r="E441" s="30"/>
      <c r="F441" s="30"/>
      <c r="G441" s="30"/>
      <c r="H441" s="30"/>
      <c r="I441" s="30"/>
      <c r="J441" s="30"/>
      <c r="K441" s="30"/>
      <c r="L441" s="30"/>
    </row>
    <row r="442" spans="1:12" ht="15.75">
      <c r="A442" s="28"/>
      <c r="B442" s="28"/>
      <c r="C442" s="30"/>
      <c r="D442" s="30"/>
      <c r="E442" s="30"/>
      <c r="F442" s="30"/>
      <c r="G442" s="30"/>
      <c r="H442" s="30"/>
      <c r="I442" s="30"/>
      <c r="J442" s="30"/>
      <c r="K442" s="30"/>
      <c r="L442" s="30"/>
    </row>
    <row r="443" spans="1:12" ht="15.75">
      <c r="A443" s="28"/>
      <c r="B443" s="28"/>
      <c r="C443" s="30"/>
      <c r="D443" s="30"/>
      <c r="E443" s="30"/>
      <c r="F443" s="30"/>
      <c r="G443" s="30"/>
      <c r="H443" s="30"/>
      <c r="I443" s="30"/>
      <c r="J443" s="30"/>
      <c r="K443" s="30"/>
      <c r="L443" s="30"/>
    </row>
    <row r="444" spans="1:12" ht="15.75">
      <c r="A444" s="28"/>
      <c r="B444" s="28"/>
      <c r="C444" s="30"/>
      <c r="D444" s="30"/>
      <c r="E444" s="30"/>
      <c r="F444" s="30"/>
      <c r="G444" s="30"/>
      <c r="H444" s="30"/>
      <c r="I444" s="30"/>
      <c r="J444" s="30"/>
      <c r="K444" s="30"/>
      <c r="L444" s="30"/>
    </row>
    <row r="445" spans="1:12" ht="15.75">
      <c r="A445" s="28"/>
      <c r="B445" s="28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ht="15.75">
      <c r="A446" s="28"/>
      <c r="B446" s="28"/>
      <c r="C446" s="30"/>
      <c r="D446" s="30"/>
      <c r="E446" s="30"/>
      <c r="F446" s="30"/>
      <c r="G446" s="30"/>
      <c r="H446" s="30"/>
      <c r="I446" s="30"/>
      <c r="J446" s="30"/>
      <c r="K446" s="30"/>
      <c r="L446" s="30"/>
    </row>
    <row r="447" spans="1:12" ht="15.75">
      <c r="A447" s="28"/>
      <c r="B447" s="28"/>
      <c r="C447" s="30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ht="15.75">
      <c r="A448" s="28"/>
      <c r="B448" s="28"/>
      <c r="C448" s="30"/>
      <c r="D448" s="30"/>
      <c r="E448" s="30"/>
      <c r="F448" s="30"/>
      <c r="G448" s="30"/>
      <c r="H448" s="30"/>
      <c r="I448" s="30"/>
      <c r="J448" s="30"/>
      <c r="K448" s="30"/>
      <c r="L448" s="30"/>
    </row>
    <row r="449" spans="1:12" ht="15.75">
      <c r="A449" s="28"/>
      <c r="B449" s="28"/>
      <c r="C449" s="30"/>
      <c r="D449" s="30"/>
      <c r="E449" s="30"/>
      <c r="F449" s="30"/>
      <c r="G449" s="30"/>
      <c r="H449" s="30"/>
      <c r="I449" s="30"/>
      <c r="J449" s="30"/>
      <c r="K449" s="30"/>
      <c r="L449" s="30"/>
    </row>
    <row r="450" spans="1:12" ht="15.75">
      <c r="A450" s="28"/>
      <c r="B450" s="28"/>
      <c r="C450" s="30"/>
      <c r="D450" s="30"/>
      <c r="E450" s="30"/>
      <c r="F450" s="30"/>
      <c r="G450" s="30"/>
      <c r="H450" s="30"/>
      <c r="I450" s="30"/>
      <c r="J450" s="30"/>
      <c r="K450" s="30"/>
      <c r="L450" s="30"/>
    </row>
    <row r="451" spans="1:12" ht="15.75">
      <c r="A451" s="28"/>
      <c r="B451" s="28"/>
      <c r="C451" s="30"/>
      <c r="D451" s="30"/>
      <c r="E451" s="30"/>
      <c r="F451" s="30"/>
      <c r="G451" s="30"/>
      <c r="H451" s="30"/>
      <c r="I451" s="30"/>
      <c r="J451" s="30"/>
      <c r="K451" s="30"/>
      <c r="L451" s="30"/>
    </row>
    <row r="452" spans="1:12" ht="15.75">
      <c r="A452" s="28"/>
      <c r="B452" s="28"/>
      <c r="C452" s="30"/>
      <c r="D452" s="30"/>
      <c r="E452" s="30"/>
      <c r="F452" s="30"/>
      <c r="G452" s="30"/>
      <c r="H452" s="30"/>
      <c r="I452" s="30"/>
      <c r="J452" s="30"/>
      <c r="K452" s="30"/>
      <c r="L452" s="30"/>
    </row>
    <row r="453" spans="1:12" ht="15.75">
      <c r="A453" s="28"/>
      <c r="B453" s="28"/>
      <c r="C453" s="30"/>
      <c r="D453" s="30"/>
      <c r="E453" s="30"/>
      <c r="F453" s="30"/>
      <c r="G453" s="30"/>
      <c r="H453" s="30"/>
      <c r="I453" s="30"/>
      <c r="J453" s="30"/>
      <c r="K453" s="30"/>
      <c r="L453" s="30"/>
    </row>
    <row r="454" spans="1:12" ht="15.75">
      <c r="A454" s="28"/>
      <c r="B454" s="28"/>
      <c r="C454" s="30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ht="15.75">
      <c r="A455" s="28"/>
      <c r="B455" s="28"/>
      <c r="C455" s="30"/>
      <c r="D455" s="30"/>
      <c r="E455" s="30"/>
      <c r="F455" s="30"/>
      <c r="G455" s="30"/>
      <c r="H455" s="30"/>
      <c r="I455" s="30"/>
      <c r="J455" s="30"/>
      <c r="K455" s="30"/>
      <c r="L455" s="30"/>
    </row>
    <row r="456" spans="1:12" ht="15.75">
      <c r="A456" s="28"/>
      <c r="B456" s="28"/>
      <c r="C456" s="30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ht="15.75">
      <c r="A457" s="28"/>
      <c r="B457" s="28"/>
      <c r="C457" s="30"/>
      <c r="D457" s="30"/>
      <c r="E457" s="30"/>
      <c r="F457" s="30"/>
      <c r="G457" s="30"/>
      <c r="H457" s="30"/>
      <c r="I457" s="30"/>
      <c r="J457" s="30"/>
      <c r="K457" s="30"/>
      <c r="L457" s="30"/>
    </row>
    <row r="458" spans="1:12" ht="15.75">
      <c r="A458" s="28"/>
      <c r="B458" s="28"/>
      <c r="C458" s="30"/>
      <c r="D458" s="30"/>
      <c r="E458" s="30"/>
      <c r="F458" s="30"/>
      <c r="G458" s="30"/>
      <c r="H458" s="30"/>
      <c r="I458" s="30"/>
      <c r="J458" s="30"/>
      <c r="K458" s="30"/>
      <c r="L458" s="30"/>
    </row>
    <row r="459" spans="1:12" ht="15.75">
      <c r="A459" s="28"/>
      <c r="B459" s="28"/>
      <c r="C459" s="30"/>
      <c r="D459" s="30"/>
      <c r="E459" s="30"/>
      <c r="F459" s="30"/>
      <c r="G459" s="30"/>
      <c r="H459" s="30"/>
      <c r="I459" s="30"/>
      <c r="J459" s="30"/>
      <c r="K459" s="30"/>
      <c r="L459" s="30"/>
    </row>
    <row r="460" spans="1:12" ht="15.75">
      <c r="A460" s="28"/>
      <c r="B460" s="28"/>
      <c r="C460" s="30"/>
      <c r="D460" s="30"/>
      <c r="E460" s="30"/>
      <c r="F460" s="30"/>
      <c r="G460" s="30"/>
      <c r="H460" s="30"/>
      <c r="I460" s="30"/>
      <c r="J460" s="30"/>
      <c r="K460" s="30"/>
      <c r="L460" s="30"/>
    </row>
    <row r="461" spans="1:12" ht="15.75">
      <c r="A461" s="28"/>
      <c r="B461" s="28"/>
      <c r="C461" s="30"/>
      <c r="D461" s="30"/>
      <c r="E461" s="30"/>
      <c r="F461" s="30"/>
      <c r="G461" s="30"/>
      <c r="H461" s="30"/>
      <c r="I461" s="30"/>
      <c r="J461" s="30"/>
      <c r="K461" s="30"/>
      <c r="L461" s="30"/>
    </row>
    <row r="462" spans="1:12" ht="15.75">
      <c r="A462" s="28"/>
      <c r="B462" s="28"/>
      <c r="C462" s="30"/>
      <c r="D462" s="30"/>
      <c r="E462" s="30"/>
      <c r="F462" s="30"/>
      <c r="G462" s="30"/>
      <c r="H462" s="30"/>
      <c r="I462" s="30"/>
      <c r="J462" s="30"/>
      <c r="K462" s="30"/>
      <c r="L462" s="30"/>
    </row>
    <row r="463" spans="1:12" ht="15.75">
      <c r="A463" s="28"/>
      <c r="B463" s="28"/>
      <c r="C463" s="30"/>
      <c r="D463" s="30"/>
      <c r="E463" s="30"/>
      <c r="F463" s="30"/>
      <c r="G463" s="30"/>
      <c r="H463" s="30"/>
      <c r="I463" s="30"/>
      <c r="J463" s="30"/>
      <c r="K463" s="30"/>
      <c r="L463" s="30"/>
    </row>
    <row r="464" spans="1:12" ht="15.75">
      <c r="A464" s="28"/>
      <c r="B464" s="28"/>
      <c r="C464" s="30"/>
      <c r="D464" s="30"/>
      <c r="E464" s="30"/>
      <c r="F464" s="30"/>
      <c r="G464" s="30"/>
      <c r="H464" s="30"/>
      <c r="I464" s="30"/>
      <c r="J464" s="30"/>
      <c r="K464" s="30"/>
      <c r="L464" s="30"/>
    </row>
    <row r="465" spans="1:12" ht="15.75">
      <c r="A465" s="28"/>
      <c r="B465" s="28"/>
      <c r="C465" s="30"/>
      <c r="D465" s="30"/>
      <c r="E465" s="30"/>
      <c r="F465" s="30"/>
      <c r="G465" s="30"/>
      <c r="H465" s="30"/>
      <c r="I465" s="30"/>
      <c r="J465" s="30"/>
      <c r="K465" s="30"/>
      <c r="L465" s="30"/>
    </row>
    <row r="466" spans="1:12" ht="15.75">
      <c r="A466" s="28"/>
      <c r="B466" s="28"/>
      <c r="C466" s="30"/>
      <c r="D466" s="30"/>
      <c r="E466" s="30"/>
      <c r="F466" s="30"/>
      <c r="G466" s="30"/>
      <c r="H466" s="30"/>
      <c r="I466" s="30"/>
      <c r="J466" s="30"/>
      <c r="K466" s="30"/>
      <c r="L466" s="30"/>
    </row>
    <row r="467" spans="1:12" ht="15.75">
      <c r="A467" s="28"/>
      <c r="B467" s="28"/>
      <c r="C467" s="30"/>
      <c r="D467" s="30"/>
      <c r="E467" s="30"/>
      <c r="F467" s="30"/>
      <c r="G467" s="30"/>
      <c r="H467" s="30"/>
      <c r="I467" s="30"/>
      <c r="J467" s="30"/>
      <c r="K467" s="30"/>
      <c r="L467" s="30"/>
    </row>
    <row r="468" spans="1:12" ht="15.75">
      <c r="A468" s="28"/>
      <c r="B468" s="28"/>
      <c r="C468" s="30"/>
      <c r="D468" s="30"/>
      <c r="E468" s="30"/>
      <c r="F468" s="30"/>
      <c r="G468" s="30"/>
      <c r="H468" s="30"/>
      <c r="I468" s="30"/>
      <c r="J468" s="30"/>
      <c r="K468" s="30"/>
      <c r="L468" s="30"/>
    </row>
    <row r="469" spans="1:12" ht="15.75">
      <c r="A469" s="28"/>
      <c r="B469" s="28"/>
      <c r="C469" s="30"/>
      <c r="D469" s="30"/>
      <c r="E469" s="30"/>
      <c r="F469" s="30"/>
      <c r="G469" s="30"/>
      <c r="H469" s="30"/>
      <c r="I469" s="30"/>
      <c r="J469" s="30"/>
      <c r="K469" s="30"/>
      <c r="L469" s="30"/>
    </row>
    <row r="470" spans="1:12" ht="15.75">
      <c r="A470" s="28"/>
      <c r="B470" s="28"/>
      <c r="C470" s="30"/>
      <c r="D470" s="30"/>
      <c r="E470" s="30"/>
      <c r="F470" s="30"/>
      <c r="G470" s="30"/>
      <c r="H470" s="30"/>
      <c r="I470" s="30"/>
      <c r="J470" s="30"/>
      <c r="K470" s="30"/>
      <c r="L470" s="30"/>
    </row>
    <row r="471" spans="1:12" ht="15.75">
      <c r="A471" s="28"/>
      <c r="B471" s="28"/>
      <c r="C471" s="30"/>
      <c r="D471" s="30"/>
      <c r="E471" s="30"/>
      <c r="F471" s="30"/>
      <c r="G471" s="30"/>
      <c r="H471" s="30"/>
      <c r="I471" s="30"/>
      <c r="J471" s="30"/>
      <c r="K471" s="30"/>
      <c r="L471" s="30"/>
    </row>
    <row r="472" spans="1:12" ht="15.75">
      <c r="A472" s="28"/>
      <c r="B472" s="28"/>
      <c r="C472" s="30"/>
      <c r="D472" s="30"/>
      <c r="E472" s="30"/>
      <c r="F472" s="30"/>
      <c r="G472" s="30"/>
      <c r="H472" s="30"/>
      <c r="I472" s="30"/>
      <c r="J472" s="30"/>
      <c r="K472" s="30"/>
      <c r="L472" s="30"/>
    </row>
    <row r="473" spans="1:12" ht="15.75">
      <c r="A473" s="28"/>
      <c r="B473" s="28"/>
      <c r="C473" s="30"/>
      <c r="D473" s="30"/>
      <c r="E473" s="30"/>
      <c r="F473" s="30"/>
      <c r="G473" s="30"/>
      <c r="H473" s="30"/>
      <c r="I473" s="30"/>
      <c r="J473" s="30"/>
      <c r="K473" s="30"/>
      <c r="L473" s="30"/>
    </row>
    <row r="474" spans="1:12" ht="15.75">
      <c r="A474" s="28"/>
      <c r="B474" s="28"/>
      <c r="C474" s="30"/>
      <c r="D474" s="30"/>
      <c r="E474" s="30"/>
      <c r="F474" s="30"/>
      <c r="G474" s="30"/>
      <c r="H474" s="30"/>
      <c r="I474" s="30"/>
      <c r="J474" s="30"/>
      <c r="K474" s="30"/>
      <c r="L474" s="30"/>
    </row>
    <row r="475" spans="1:12" ht="15.75">
      <c r="A475" s="28"/>
      <c r="B475" s="28"/>
      <c r="C475" s="30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1:12" ht="15.75">
      <c r="A476" s="28"/>
      <c r="B476" s="28"/>
      <c r="C476" s="30"/>
      <c r="D476" s="30"/>
      <c r="E476" s="30"/>
      <c r="F476" s="30"/>
      <c r="G476" s="30"/>
      <c r="H476" s="30"/>
      <c r="I476" s="30"/>
      <c r="J476" s="30"/>
      <c r="K476" s="30"/>
      <c r="L476" s="30"/>
    </row>
    <row r="477" spans="1:12" ht="15.75">
      <c r="A477" s="28"/>
      <c r="B477" s="28"/>
      <c r="C477" s="30"/>
      <c r="D477" s="30"/>
      <c r="E477" s="30"/>
      <c r="F477" s="30"/>
      <c r="G477" s="30"/>
      <c r="H477" s="30"/>
      <c r="I477" s="30"/>
      <c r="J477" s="30"/>
      <c r="K477" s="30"/>
      <c r="L477" s="30"/>
    </row>
  </sheetData>
  <sheetProtection/>
  <mergeCells count="150">
    <mergeCell ref="A223:D223"/>
    <mergeCell ref="A216:L216"/>
    <mergeCell ref="C207:D207"/>
    <mergeCell ref="E207:F207"/>
    <mergeCell ref="G207:H207"/>
    <mergeCell ref="I207:J207"/>
    <mergeCell ref="A85:D85"/>
    <mergeCell ref="A86:L86"/>
    <mergeCell ref="A91:D91"/>
    <mergeCell ref="A92:D92"/>
    <mergeCell ref="A75:D75"/>
    <mergeCell ref="A76:L76"/>
    <mergeCell ref="A78:D78"/>
    <mergeCell ref="A79:L79"/>
    <mergeCell ref="A67:D67"/>
    <mergeCell ref="A68:D68"/>
    <mergeCell ref="A71:L71"/>
    <mergeCell ref="A69:B70"/>
    <mergeCell ref="C69:D69"/>
    <mergeCell ref="E69:F69"/>
    <mergeCell ref="G69:H69"/>
    <mergeCell ref="I69:J69"/>
    <mergeCell ref="K69:L69"/>
    <mergeCell ref="A55:D55"/>
    <mergeCell ref="A56:L56"/>
    <mergeCell ref="A63:D63"/>
    <mergeCell ref="A64:L64"/>
    <mergeCell ref="A48:L48"/>
    <mergeCell ref="A52:D52"/>
    <mergeCell ref="A53:L53"/>
    <mergeCell ref="A46:B47"/>
    <mergeCell ref="C46:D46"/>
    <mergeCell ref="E46:F46"/>
    <mergeCell ref="G46:H46"/>
    <mergeCell ref="I46:J46"/>
    <mergeCell ref="K46:L46"/>
    <mergeCell ref="A40:D40"/>
    <mergeCell ref="A41:L41"/>
    <mergeCell ref="A44:D44"/>
    <mergeCell ref="A45:D45"/>
    <mergeCell ref="A29:D29"/>
    <mergeCell ref="A30:L30"/>
    <mergeCell ref="A32:D32"/>
    <mergeCell ref="A33:L33"/>
    <mergeCell ref="A21:D21"/>
    <mergeCell ref="A22:D22"/>
    <mergeCell ref="A25:L25"/>
    <mergeCell ref="A23:B24"/>
    <mergeCell ref="C23:D23"/>
    <mergeCell ref="E23:F23"/>
    <mergeCell ref="G23:H23"/>
    <mergeCell ref="I23:J23"/>
    <mergeCell ref="K23:L23"/>
    <mergeCell ref="A10:D10"/>
    <mergeCell ref="A11:L11"/>
    <mergeCell ref="A17:D17"/>
    <mergeCell ref="A18:L18"/>
    <mergeCell ref="A3:L3"/>
    <mergeCell ref="A7:D7"/>
    <mergeCell ref="A8:L8"/>
    <mergeCell ref="C1:D1"/>
    <mergeCell ref="A1:B2"/>
    <mergeCell ref="E1:F1"/>
    <mergeCell ref="G1:H1"/>
    <mergeCell ref="I1:J1"/>
    <mergeCell ref="K1:L1"/>
    <mergeCell ref="I118:J118"/>
    <mergeCell ref="K118:L118"/>
    <mergeCell ref="A93:B94"/>
    <mergeCell ref="C93:D93"/>
    <mergeCell ref="E93:F93"/>
    <mergeCell ref="G93:H93"/>
    <mergeCell ref="A117:D117"/>
    <mergeCell ref="A118:B119"/>
    <mergeCell ref="C118:D118"/>
    <mergeCell ref="A116:D116"/>
    <mergeCell ref="I161:J161"/>
    <mergeCell ref="K161:L161"/>
    <mergeCell ref="I93:J93"/>
    <mergeCell ref="K93:L93"/>
    <mergeCell ref="A120:L120"/>
    <mergeCell ref="E118:F118"/>
    <mergeCell ref="G118:H118"/>
    <mergeCell ref="A99:D99"/>
    <mergeCell ref="A102:D102"/>
    <mergeCell ref="A110:D110"/>
    <mergeCell ref="A125:G125"/>
    <mergeCell ref="A124:D124"/>
    <mergeCell ref="A127:D127"/>
    <mergeCell ref="I140:J140"/>
    <mergeCell ref="G140:H140"/>
    <mergeCell ref="E140:F140"/>
    <mergeCell ref="A134:D134"/>
    <mergeCell ref="A138:D138"/>
    <mergeCell ref="K140:L140"/>
    <mergeCell ref="A139:D139"/>
    <mergeCell ref="A140:B141"/>
    <mergeCell ref="C140:D140"/>
    <mergeCell ref="A149:D149"/>
    <mergeCell ref="A155:D155"/>
    <mergeCell ref="A146:D146"/>
    <mergeCell ref="A142:L142"/>
    <mergeCell ref="A163:G163"/>
    <mergeCell ref="A167:D167"/>
    <mergeCell ref="A170:D170"/>
    <mergeCell ref="A159:D159"/>
    <mergeCell ref="A160:D160"/>
    <mergeCell ref="A161:B162"/>
    <mergeCell ref="C161:D161"/>
    <mergeCell ref="E161:F161"/>
    <mergeCell ref="G161:H161"/>
    <mergeCell ref="C183:D183"/>
    <mergeCell ref="E183:F183"/>
    <mergeCell ref="G183:H183"/>
    <mergeCell ref="A171:L171"/>
    <mergeCell ref="A177:D177"/>
    <mergeCell ref="A178:L178"/>
    <mergeCell ref="A181:D181"/>
    <mergeCell ref="K183:L183"/>
    <mergeCell ref="A183:B184"/>
    <mergeCell ref="A111:G111"/>
    <mergeCell ref="A100:G100"/>
    <mergeCell ref="A201:D201"/>
    <mergeCell ref="A190:D190"/>
    <mergeCell ref="A191:L191"/>
    <mergeCell ref="A193:D193"/>
    <mergeCell ref="A194:L194"/>
    <mergeCell ref="A185:G185"/>
    <mergeCell ref="A182:D182"/>
    <mergeCell ref="I183:J183"/>
    <mergeCell ref="A224:L224"/>
    <mergeCell ref="A229:D229"/>
    <mergeCell ref="A213:L213"/>
    <mergeCell ref="A202:L202"/>
    <mergeCell ref="A205:D205"/>
    <mergeCell ref="A206:D206"/>
    <mergeCell ref="A207:B208"/>
    <mergeCell ref="K207:L207"/>
    <mergeCell ref="A212:D212"/>
    <mergeCell ref="A215:D215"/>
    <mergeCell ref="A230:D230"/>
    <mergeCell ref="A231:D231"/>
    <mergeCell ref="A103:L103"/>
    <mergeCell ref="A95:L95"/>
    <mergeCell ref="A128:L128"/>
    <mergeCell ref="A135:L135"/>
    <mergeCell ref="A147:L147"/>
    <mergeCell ref="A150:L150"/>
    <mergeCell ref="A156:L156"/>
    <mergeCell ref="A168:L168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9" manualBreakCount="9">
    <brk id="22" max="255" man="1"/>
    <brk id="45" max="255" man="1"/>
    <brk id="68" max="255" man="1"/>
    <brk id="92" max="255" man="1"/>
    <brk id="117" max="255" man="1"/>
    <brk id="139" max="255" man="1"/>
    <brk id="160" max="255" man="1"/>
    <brk id="182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9" sqref="I29"/>
    </sheetView>
  </sheetViews>
  <sheetFormatPr defaultColWidth="9.00390625" defaultRowHeight="12.75"/>
  <sheetData>
    <row r="1" spans="1:9" ht="15.75">
      <c r="A1" s="50" t="s">
        <v>98</v>
      </c>
      <c r="B1" s="50"/>
      <c r="C1" s="50"/>
      <c r="G1" s="50" t="s">
        <v>99</v>
      </c>
      <c r="H1" s="50"/>
      <c r="I1" s="50"/>
    </row>
    <row r="2" spans="1:9" ht="81" customHeight="1">
      <c r="A2" s="51" t="s">
        <v>155</v>
      </c>
      <c r="B2" s="51"/>
      <c r="C2" s="51"/>
      <c r="G2" s="51" t="s">
        <v>157</v>
      </c>
      <c r="H2" s="51"/>
      <c r="I2" s="51"/>
    </row>
    <row r="3" spans="1:9" ht="21.75" customHeight="1">
      <c r="A3" s="48"/>
      <c r="B3" s="48"/>
      <c r="C3" s="48"/>
      <c r="D3" s="34"/>
      <c r="G3" s="48"/>
      <c r="H3" s="48"/>
      <c r="I3" s="48"/>
    </row>
    <row r="4" spans="1:9" ht="22.5" customHeight="1">
      <c r="A4" s="47" t="s">
        <v>156</v>
      </c>
      <c r="B4" s="47"/>
      <c r="C4" s="47"/>
      <c r="D4" s="34"/>
      <c r="G4" s="52" t="s">
        <v>158</v>
      </c>
      <c r="H4" s="52"/>
      <c r="I4" s="52"/>
    </row>
    <row r="5" spans="1:3" ht="12.75" customHeight="1">
      <c r="A5" s="34"/>
      <c r="B5" s="34"/>
      <c r="C5" s="34"/>
    </row>
    <row r="6" spans="1:3" ht="12.75" customHeight="1">
      <c r="A6" s="34"/>
      <c r="B6" s="34"/>
      <c r="C6" s="34"/>
    </row>
    <row r="11" spans="2:4" ht="15.75">
      <c r="B11" s="33"/>
      <c r="C11" s="34"/>
      <c r="D11" s="33"/>
    </row>
    <row r="12" spans="2:4" ht="12.75" customHeight="1">
      <c r="B12" s="4"/>
      <c r="C12" s="34"/>
      <c r="D12" s="4"/>
    </row>
    <row r="13" spans="1:10" ht="27">
      <c r="A13" s="49" t="s">
        <v>100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3.5" customHeight="1">
      <c r="A14" s="46" t="s">
        <v>154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2" spans="1:10" ht="20.25" customHeight="1">
      <c r="A22" s="45" t="s">
        <v>160</v>
      </c>
      <c r="B22" s="45"/>
      <c r="C22" s="45"/>
      <c r="D22" s="45"/>
      <c r="E22" s="45"/>
      <c r="F22" s="45"/>
      <c r="G22" s="45"/>
      <c r="H22" s="45"/>
      <c r="I22" s="45"/>
      <c r="J22" s="45"/>
    </row>
    <row r="24" spans="3:8" ht="27.75" customHeight="1">
      <c r="C24" s="45" t="s">
        <v>101</v>
      </c>
      <c r="D24" s="45"/>
      <c r="E24" s="45"/>
      <c r="F24" s="45"/>
      <c r="G24" s="45"/>
      <c r="H24" s="45"/>
    </row>
    <row r="25" spans="3:8" ht="27.75" customHeight="1">
      <c r="C25" s="45"/>
      <c r="D25" s="45"/>
      <c r="E25" s="45"/>
      <c r="F25" s="45"/>
      <c r="G25" s="45"/>
      <c r="H25" s="45"/>
    </row>
  </sheetData>
  <sheetProtection/>
  <mergeCells count="13">
    <mergeCell ref="A1:C1"/>
    <mergeCell ref="G1:I1"/>
    <mergeCell ref="A2:C2"/>
    <mergeCell ref="G2:I2"/>
    <mergeCell ref="G3:I3"/>
    <mergeCell ref="G4:I4"/>
    <mergeCell ref="A22:J22"/>
    <mergeCell ref="C24:H24"/>
    <mergeCell ref="C25:H25"/>
    <mergeCell ref="A14:J20"/>
    <mergeCell ref="A4:C4"/>
    <mergeCell ref="A3:C3"/>
    <mergeCell ref="A13:J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0">
      <selection activeCell="A22" sqref="A22:J22"/>
    </sheetView>
  </sheetViews>
  <sheetFormatPr defaultColWidth="9.00390625" defaultRowHeight="12.75"/>
  <cols>
    <col min="3" max="3" width="12.00390625" style="0" customWidth="1"/>
  </cols>
  <sheetData>
    <row r="1" spans="1:9" ht="15.75">
      <c r="A1" s="50" t="s">
        <v>98</v>
      </c>
      <c r="B1" s="50"/>
      <c r="C1" s="50"/>
      <c r="G1" s="50" t="s">
        <v>99</v>
      </c>
      <c r="H1" s="50"/>
      <c r="I1" s="50"/>
    </row>
    <row r="2" spans="1:9" ht="55.5" customHeight="1">
      <c r="A2" s="51" t="s">
        <v>155</v>
      </c>
      <c r="B2" s="51"/>
      <c r="C2" s="51"/>
      <c r="G2" s="51" t="s">
        <v>157</v>
      </c>
      <c r="H2" s="51"/>
      <c r="I2" s="51"/>
    </row>
    <row r="3" spans="1:9" ht="21.75" customHeight="1">
      <c r="A3" s="48"/>
      <c r="B3" s="48"/>
      <c r="C3" s="48"/>
      <c r="D3" s="34"/>
      <c r="G3" s="48"/>
      <c r="H3" s="48"/>
      <c r="I3" s="48"/>
    </row>
    <row r="4" spans="1:9" ht="22.5" customHeight="1">
      <c r="A4" s="47" t="s">
        <v>156</v>
      </c>
      <c r="B4" s="47"/>
      <c r="C4" s="47"/>
      <c r="D4" s="34"/>
      <c r="G4" s="52" t="s">
        <v>158</v>
      </c>
      <c r="H4" s="52"/>
      <c r="I4" s="52"/>
    </row>
    <row r="5" spans="1:3" ht="12.75" customHeight="1">
      <c r="A5" s="34"/>
      <c r="B5" s="34"/>
      <c r="C5" s="34"/>
    </row>
    <row r="6" spans="1:3" ht="12.75" customHeight="1">
      <c r="A6" s="34"/>
      <c r="B6" s="34"/>
      <c r="C6" s="34"/>
    </row>
    <row r="11" spans="2:4" ht="15.75">
      <c r="B11" s="33"/>
      <c r="C11" s="34"/>
      <c r="D11" s="33"/>
    </row>
    <row r="12" spans="2:4" ht="12.75" customHeight="1">
      <c r="B12" s="4"/>
      <c r="C12" s="34"/>
      <c r="D12" s="4"/>
    </row>
    <row r="13" spans="1:10" ht="27">
      <c r="A13" s="49" t="s">
        <v>100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3.5" customHeight="1">
      <c r="A14" s="46" t="s">
        <v>154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2" spans="1:10" ht="27.75">
      <c r="A22" s="45" t="s">
        <v>159</v>
      </c>
      <c r="B22" s="45"/>
      <c r="C22" s="45"/>
      <c r="D22" s="45"/>
      <c r="E22" s="45"/>
      <c r="F22" s="45"/>
      <c r="G22" s="45"/>
      <c r="H22" s="45"/>
      <c r="I22" s="45"/>
      <c r="J22" s="45"/>
    </row>
    <row r="24" spans="3:8" ht="27.75" customHeight="1">
      <c r="C24" s="45" t="s">
        <v>101</v>
      </c>
      <c r="D24" s="45"/>
      <c r="E24" s="45"/>
      <c r="F24" s="45"/>
      <c r="G24" s="45"/>
      <c r="H24" s="45"/>
    </row>
    <row r="25" spans="3:8" ht="27.75" customHeight="1">
      <c r="C25" s="45"/>
      <c r="D25" s="45"/>
      <c r="E25" s="45"/>
      <c r="F25" s="45"/>
      <c r="G25" s="45"/>
      <c r="H25" s="45"/>
    </row>
  </sheetData>
  <sheetProtection/>
  <mergeCells count="13">
    <mergeCell ref="C25:H25"/>
    <mergeCell ref="A4:C4"/>
    <mergeCell ref="G4:I4"/>
    <mergeCell ref="A13:J13"/>
    <mergeCell ref="A14:J20"/>
    <mergeCell ref="A22:J22"/>
    <mergeCell ref="C24:H24"/>
    <mergeCell ref="A1:C1"/>
    <mergeCell ref="G1:I1"/>
    <mergeCell ref="A2:C2"/>
    <mergeCell ref="G2:I2"/>
    <mergeCell ref="A3:C3"/>
    <mergeCell ref="G3:I3"/>
  </mergeCells>
  <printOptions/>
  <pageMargins left="0.6458333333333334" right="0.114583333333333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1"/>
  <sheetViews>
    <sheetView view="pageBreakPreview" zoomScaleSheetLayoutView="100" workbookViewId="0" topLeftCell="A100">
      <selection activeCell="A208" sqref="A208"/>
    </sheetView>
  </sheetViews>
  <sheetFormatPr defaultColWidth="9.00390625" defaultRowHeight="12.75"/>
  <cols>
    <col min="1" max="1" width="3.00390625" style="23" customWidth="1"/>
    <col min="2" max="2" width="32.375" style="23" customWidth="1"/>
    <col min="3" max="3" width="8.75390625" style="31" customWidth="1"/>
    <col min="4" max="4" width="10.75390625" style="31" customWidth="1"/>
    <col min="5" max="10" width="8.75390625" style="31" customWidth="1"/>
    <col min="11" max="12" width="10.75390625" style="31" customWidth="1"/>
    <col min="13" max="16384" width="9.125" style="23" customWidth="1"/>
  </cols>
  <sheetData>
    <row r="1" spans="1:12" ht="15.75" customHeight="1">
      <c r="A1" s="53" t="s">
        <v>0</v>
      </c>
      <c r="B1" s="54"/>
      <c r="C1" s="57" t="s">
        <v>1</v>
      </c>
      <c r="D1" s="58"/>
      <c r="E1" s="57" t="s">
        <v>2</v>
      </c>
      <c r="F1" s="58"/>
      <c r="G1" s="57" t="s">
        <v>3</v>
      </c>
      <c r="H1" s="58"/>
      <c r="I1" s="57" t="s">
        <v>4</v>
      </c>
      <c r="J1" s="58"/>
      <c r="K1" s="57" t="s">
        <v>5</v>
      </c>
      <c r="L1" s="58"/>
    </row>
    <row r="2" spans="1:12" ht="16.5" customHeight="1">
      <c r="A2" s="55"/>
      <c r="B2" s="56"/>
      <c r="C2" s="24" t="s">
        <v>41</v>
      </c>
      <c r="D2" s="24" t="s">
        <v>42</v>
      </c>
      <c r="E2" s="24" t="s">
        <v>41</v>
      </c>
      <c r="F2" s="24" t="s">
        <v>42</v>
      </c>
      <c r="G2" s="24" t="s">
        <v>41</v>
      </c>
      <c r="H2" s="24" t="s">
        <v>42</v>
      </c>
      <c r="I2" s="24" t="s">
        <v>41</v>
      </c>
      <c r="J2" s="24" t="s">
        <v>42</v>
      </c>
      <c r="K2" s="24" t="s">
        <v>41</v>
      </c>
      <c r="L2" s="24" t="s">
        <v>42</v>
      </c>
    </row>
    <row r="3" spans="1:12" ht="15.75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31.5" customHeight="1">
      <c r="A4" s="1">
        <v>1</v>
      </c>
      <c r="B4" s="11" t="s">
        <v>110</v>
      </c>
      <c r="C4" s="8">
        <v>200</v>
      </c>
      <c r="D4" s="8">
        <v>250</v>
      </c>
      <c r="E4" s="10">
        <v>6.53</v>
      </c>
      <c r="F4" s="10">
        <v>8.16</v>
      </c>
      <c r="G4" s="10">
        <v>7.03</v>
      </c>
      <c r="H4" s="10">
        <v>8.79</v>
      </c>
      <c r="I4" s="10">
        <v>38.78</v>
      </c>
      <c r="J4" s="10">
        <f>250*I4/200</f>
        <v>48.475</v>
      </c>
      <c r="K4" s="10">
        <v>203.92</v>
      </c>
      <c r="L4" s="10">
        <f>250*K4/200</f>
        <v>254.9</v>
      </c>
    </row>
    <row r="5" spans="1:12" ht="31.5">
      <c r="A5" s="1">
        <v>2</v>
      </c>
      <c r="B5" s="20" t="s">
        <v>17</v>
      </c>
      <c r="C5" s="8">
        <v>180</v>
      </c>
      <c r="D5" s="8">
        <v>200</v>
      </c>
      <c r="E5" s="10">
        <f>F5*C5/D5</f>
        <v>2.511</v>
      </c>
      <c r="F5" s="10">
        <v>2.79</v>
      </c>
      <c r="G5" s="10">
        <f>H5*E5/F5</f>
        <v>2.871</v>
      </c>
      <c r="H5" s="10">
        <v>3.19</v>
      </c>
      <c r="I5" s="10">
        <f>J5*G5/H5</f>
        <v>17.739</v>
      </c>
      <c r="J5" s="10">
        <v>19.71</v>
      </c>
      <c r="K5" s="10">
        <f>L5*I5/J5</f>
        <v>124.82100000000001</v>
      </c>
      <c r="L5" s="10">
        <v>138.69</v>
      </c>
    </row>
    <row r="6" spans="1:12" ht="18" customHeight="1">
      <c r="A6" s="1">
        <v>3</v>
      </c>
      <c r="B6" s="1" t="s">
        <v>8</v>
      </c>
      <c r="C6" s="2" t="s">
        <v>44</v>
      </c>
      <c r="D6" s="2" t="s">
        <v>45</v>
      </c>
      <c r="E6" s="5">
        <v>6.1</v>
      </c>
      <c r="F6" s="5">
        <v>12.8</v>
      </c>
      <c r="G6" s="5">
        <v>14.6</v>
      </c>
      <c r="H6" s="5">
        <v>19.6</v>
      </c>
      <c r="I6" s="5">
        <v>6.7</v>
      </c>
      <c r="J6" s="5">
        <v>7</v>
      </c>
      <c r="K6" s="5">
        <v>164</v>
      </c>
      <c r="L6" s="5">
        <v>256.36</v>
      </c>
    </row>
    <row r="7" spans="1:12" ht="15.75" customHeight="1">
      <c r="A7" s="62" t="s">
        <v>9</v>
      </c>
      <c r="B7" s="63"/>
      <c r="C7" s="63"/>
      <c r="D7" s="64"/>
      <c r="E7" s="3">
        <f>SUM(E4:E6)</f>
        <v>15.141</v>
      </c>
      <c r="F7" s="6">
        <f>250*E7/200</f>
        <v>18.92625</v>
      </c>
      <c r="G7" s="6">
        <f>250*F7/200</f>
        <v>23.6578125</v>
      </c>
      <c r="H7" s="6">
        <f>250*G7/200</f>
        <v>29.572265625</v>
      </c>
      <c r="I7" s="6">
        <f>250*H7/200</f>
        <v>36.96533203125</v>
      </c>
      <c r="J7" s="6">
        <f>250*I7/200</f>
        <v>46.2066650390625</v>
      </c>
      <c r="K7" s="6">
        <f>SUM(K4:K6)</f>
        <v>492.741</v>
      </c>
      <c r="L7" s="6">
        <f>SUM(L4:L6)</f>
        <v>649.95</v>
      </c>
    </row>
    <row r="8" spans="1:12" ht="15.75" customHeigh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ht="15.75">
      <c r="A9" s="1">
        <v>1</v>
      </c>
      <c r="B9" s="1" t="s">
        <v>22</v>
      </c>
      <c r="C9" s="2">
        <v>100</v>
      </c>
      <c r="D9" s="2">
        <v>150</v>
      </c>
      <c r="E9" s="5">
        <f>F9*100/D9</f>
        <v>0.4266666666666667</v>
      </c>
      <c r="F9" s="2">
        <v>0.64</v>
      </c>
      <c r="G9" s="2"/>
      <c r="H9" s="2"/>
      <c r="I9" s="5">
        <f>J9*100/D9</f>
        <v>10.08</v>
      </c>
      <c r="J9" s="2">
        <v>15.12</v>
      </c>
      <c r="K9" s="5">
        <f>L9*C9/D9</f>
        <v>43.14666666666667</v>
      </c>
      <c r="L9" s="2">
        <v>64.72</v>
      </c>
    </row>
    <row r="10" spans="1:12" ht="15.75" customHeight="1">
      <c r="A10" s="62" t="s">
        <v>9</v>
      </c>
      <c r="B10" s="63"/>
      <c r="C10" s="63"/>
      <c r="D10" s="64"/>
      <c r="E10" s="6">
        <f>SUM(E9)</f>
        <v>0.4266666666666667</v>
      </c>
      <c r="F10" s="6">
        <f aca="true" t="shared" si="0" ref="F10:L10">SUM(F9)</f>
        <v>0.64</v>
      </c>
      <c r="G10" s="6">
        <f t="shared" si="0"/>
        <v>0</v>
      </c>
      <c r="H10" s="6">
        <f t="shared" si="0"/>
        <v>0</v>
      </c>
      <c r="I10" s="6">
        <f t="shared" si="0"/>
        <v>10.08</v>
      </c>
      <c r="J10" s="6">
        <f t="shared" si="0"/>
        <v>15.12</v>
      </c>
      <c r="K10" s="6">
        <f t="shared" si="0"/>
        <v>43.14666666666667</v>
      </c>
      <c r="L10" s="6">
        <f t="shared" si="0"/>
        <v>64.72</v>
      </c>
    </row>
    <row r="11" spans="1:12" ht="15.75" customHeight="1">
      <c r="A11" s="65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17.25" customHeight="1">
      <c r="A12" s="35">
        <v>1</v>
      </c>
      <c r="B12" s="20" t="s">
        <v>111</v>
      </c>
      <c r="C12" s="8">
        <v>200</v>
      </c>
      <c r="D12" s="15">
        <v>250</v>
      </c>
      <c r="E12" s="10">
        <v>1.52</v>
      </c>
      <c r="F12" s="16">
        <f>E12*$D$152/$C$152</f>
        <v>1.9</v>
      </c>
      <c r="G12" s="10">
        <v>5.33</v>
      </c>
      <c r="H12" s="16">
        <f>G12*$D$152/$C$152</f>
        <v>6.6625</v>
      </c>
      <c r="I12" s="10">
        <v>8.65</v>
      </c>
      <c r="J12" s="16">
        <f>I12*$D$152/$C$152</f>
        <v>10.8125</v>
      </c>
      <c r="K12" s="10">
        <v>88.89</v>
      </c>
      <c r="L12" s="16">
        <f>K12*$D$152/$C$152</f>
        <v>111.1125</v>
      </c>
    </row>
    <row r="13" spans="1:12" ht="15.75">
      <c r="A13" s="35">
        <v>2</v>
      </c>
      <c r="B13" s="20" t="s">
        <v>102</v>
      </c>
      <c r="C13" s="2">
        <v>60</v>
      </c>
      <c r="D13" s="2">
        <v>70</v>
      </c>
      <c r="E13" s="5">
        <v>10.68</v>
      </c>
      <c r="F13" s="5">
        <v>11.04</v>
      </c>
      <c r="G13" s="5">
        <v>10.72</v>
      </c>
      <c r="H13" s="5">
        <v>11.72</v>
      </c>
      <c r="I13" s="5">
        <v>5.27</v>
      </c>
      <c r="J13" s="5">
        <v>5.74</v>
      </c>
      <c r="K13" s="5">
        <v>161.64</v>
      </c>
      <c r="L13" s="5">
        <v>176.75</v>
      </c>
    </row>
    <row r="14" spans="1:12" ht="15.75">
      <c r="A14" s="35">
        <v>3</v>
      </c>
      <c r="B14" s="1" t="s">
        <v>31</v>
      </c>
      <c r="C14" s="2">
        <v>150</v>
      </c>
      <c r="D14" s="2">
        <v>180</v>
      </c>
      <c r="E14" s="5">
        <f>2.13*C14/100</f>
        <v>3.195</v>
      </c>
      <c r="F14" s="5">
        <f>2.13*D14/100</f>
        <v>3.8339999999999996</v>
      </c>
      <c r="G14" s="5">
        <f>4.04*C14/100</f>
        <v>6.06</v>
      </c>
      <c r="H14" s="5">
        <f>4.04*D14/100</f>
        <v>7.272</v>
      </c>
      <c r="I14" s="5">
        <f>15.53*C14/100</f>
        <v>23.295</v>
      </c>
      <c r="J14" s="5">
        <f>15.53*D14/100</f>
        <v>27.954</v>
      </c>
      <c r="K14" s="5">
        <f>96.97*C14/100</f>
        <v>145.455</v>
      </c>
      <c r="L14" s="5">
        <f>106.97*D14/100</f>
        <v>192.546</v>
      </c>
    </row>
    <row r="15" spans="1:12" ht="15.75">
      <c r="A15" s="35">
        <v>4</v>
      </c>
      <c r="B15" s="1" t="s">
        <v>103</v>
      </c>
      <c r="C15" s="8">
        <v>40</v>
      </c>
      <c r="D15" s="2">
        <v>60</v>
      </c>
      <c r="E15" s="5">
        <f>0.5*40/45.5</f>
        <v>0.43956043956043955</v>
      </c>
      <c r="F15" s="5">
        <f>0.5*60/45.5</f>
        <v>0.6593406593406593</v>
      </c>
      <c r="G15" s="5"/>
      <c r="H15" s="5"/>
      <c r="I15" s="5">
        <f>2.3*40/45.5</f>
        <v>2.021978021978022</v>
      </c>
      <c r="J15" s="5">
        <f>2.3*60/45.5</f>
        <v>3.032967032967033</v>
      </c>
      <c r="K15" s="5">
        <f>56.96*40/45.5</f>
        <v>50.074725274725274</v>
      </c>
      <c r="L15" s="5">
        <f>56.96*60/45.5</f>
        <v>75.11208791208792</v>
      </c>
    </row>
    <row r="16" spans="1:12" ht="15.75">
      <c r="A16" s="35">
        <v>5</v>
      </c>
      <c r="B16" s="1" t="s">
        <v>14</v>
      </c>
      <c r="C16" s="2">
        <v>180</v>
      </c>
      <c r="D16" s="2">
        <v>200</v>
      </c>
      <c r="E16" s="5">
        <f>180*0.54/200</f>
        <v>0.486</v>
      </c>
      <c r="F16" s="5">
        <v>0.54</v>
      </c>
      <c r="G16" s="5"/>
      <c r="H16" s="5"/>
      <c r="I16" s="5">
        <f>180*J16/200</f>
        <v>25.065</v>
      </c>
      <c r="J16" s="5">
        <v>27.85</v>
      </c>
      <c r="K16" s="5">
        <f>180*L16/200</f>
        <v>96.93</v>
      </c>
      <c r="L16" s="5">
        <v>107.7</v>
      </c>
    </row>
    <row r="17" spans="1:12" ht="15.75">
      <c r="A17" s="35">
        <v>6</v>
      </c>
      <c r="B17" s="1" t="s">
        <v>15</v>
      </c>
      <c r="C17" s="2">
        <v>40</v>
      </c>
      <c r="D17" s="2">
        <v>50</v>
      </c>
      <c r="E17" s="5">
        <f>C17*2.81/60</f>
        <v>1.8733333333333335</v>
      </c>
      <c r="F17" s="5">
        <f>D17*2.81/60</f>
        <v>2.341666666666667</v>
      </c>
      <c r="G17" s="5">
        <f>C17*0.44/60</f>
        <v>0.29333333333333333</v>
      </c>
      <c r="H17" s="5">
        <f>D17*0.44/60</f>
        <v>0.36666666666666664</v>
      </c>
      <c r="I17" s="5">
        <f>C17*23.52/60</f>
        <v>15.68</v>
      </c>
      <c r="J17" s="5">
        <f>D17*23.52/60</f>
        <v>19.6</v>
      </c>
      <c r="K17" s="5">
        <f>C17*111.56/60</f>
        <v>74.37333333333332</v>
      </c>
      <c r="L17" s="5">
        <f>D17*111.56/60</f>
        <v>92.96666666666667</v>
      </c>
    </row>
    <row r="18" spans="1:12" ht="15.75" customHeight="1">
      <c r="A18" s="62" t="s">
        <v>9</v>
      </c>
      <c r="B18" s="63"/>
      <c r="C18" s="63"/>
      <c r="D18" s="64"/>
      <c r="E18" s="6">
        <f>SUM(E12:E17)</f>
        <v>18.193893772893773</v>
      </c>
      <c r="F18" s="6">
        <f>SUM(F12:F17)</f>
        <v>20.315007326007326</v>
      </c>
      <c r="G18" s="6">
        <f>SUM(G12:G17)</f>
        <v>22.403333333333332</v>
      </c>
      <c r="H18" s="6">
        <f>250*G18/200</f>
        <v>28.004166666666666</v>
      </c>
      <c r="I18" s="6">
        <f>SUM(I12:I17)</f>
        <v>79.98197802197802</v>
      </c>
      <c r="J18" s="6">
        <f>250*I18/200</f>
        <v>99.97747252747253</v>
      </c>
      <c r="K18" s="6">
        <f>SUM(K12:K17)</f>
        <v>617.3630586080586</v>
      </c>
      <c r="L18" s="6">
        <f>250*K18/200</f>
        <v>771.7038232600732</v>
      </c>
    </row>
    <row r="19" spans="1:12" ht="15.75" customHeight="1">
      <c r="A19" s="68" t="s">
        <v>16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1:12" ht="15.75">
      <c r="A20" s="1">
        <v>1</v>
      </c>
      <c r="B20" s="1" t="s">
        <v>104</v>
      </c>
      <c r="C20" s="5" t="s">
        <v>105</v>
      </c>
      <c r="D20" s="2">
        <v>130</v>
      </c>
      <c r="E20" s="5">
        <f>C20*8.95/100</f>
        <v>8.95</v>
      </c>
      <c r="F20" s="5">
        <f>D20*11.64/130</f>
        <v>11.64</v>
      </c>
      <c r="G20" s="5">
        <f>C20*13.89/100</f>
        <v>13.89</v>
      </c>
      <c r="H20" s="5">
        <f>D20*18.06/130</f>
        <v>18.06</v>
      </c>
      <c r="I20" s="5">
        <v>2.34</v>
      </c>
      <c r="J20" s="5">
        <v>3.05</v>
      </c>
      <c r="K20" s="5">
        <v>170.23</v>
      </c>
      <c r="L20" s="5">
        <v>271.3</v>
      </c>
    </row>
    <row r="21" spans="1:12" ht="15.75">
      <c r="A21" s="1">
        <v>2</v>
      </c>
      <c r="B21" s="1" t="s">
        <v>60</v>
      </c>
      <c r="C21" s="2">
        <v>30</v>
      </c>
      <c r="D21" s="2">
        <v>50</v>
      </c>
      <c r="E21" s="5">
        <f>F21*$C$21/$D$21</f>
        <v>0.6</v>
      </c>
      <c r="F21" s="5">
        <v>1</v>
      </c>
      <c r="G21" s="5">
        <f>H21*$C$21/$D$21</f>
        <v>4.2</v>
      </c>
      <c r="H21" s="5">
        <v>7</v>
      </c>
      <c r="I21" s="5">
        <f>7*C21/50</f>
        <v>4.2</v>
      </c>
      <c r="J21" s="5">
        <v>7</v>
      </c>
      <c r="K21" s="5">
        <f>L21*$C$21/$D$21</f>
        <v>29.1</v>
      </c>
      <c r="L21" s="5">
        <v>48.5</v>
      </c>
    </row>
    <row r="22" spans="1:12" ht="15.75">
      <c r="A22" s="1">
        <v>3</v>
      </c>
      <c r="B22" s="1" t="s">
        <v>33</v>
      </c>
      <c r="C22" s="2">
        <v>40</v>
      </c>
      <c r="D22" s="2">
        <v>60</v>
      </c>
      <c r="E22" s="5">
        <v>4.78</v>
      </c>
      <c r="F22" s="21">
        <f>E22*$C$64/$D$64</f>
        <v>4.3020000000000005</v>
      </c>
      <c r="G22" s="5">
        <v>1.96</v>
      </c>
      <c r="H22" s="21">
        <f>G22*$C$64/$D$64</f>
        <v>1.764</v>
      </c>
      <c r="I22" s="5">
        <v>35.86</v>
      </c>
      <c r="J22" s="21">
        <f>I22*$C$64/$D$64</f>
        <v>32.274</v>
      </c>
      <c r="K22" s="5">
        <f>L22*$C$228/$D$228</f>
        <v>104.26666666666667</v>
      </c>
      <c r="L22" s="21">
        <v>156.4</v>
      </c>
    </row>
    <row r="23" spans="1:12" ht="15.75">
      <c r="A23" s="1">
        <v>4</v>
      </c>
      <c r="B23" s="1" t="s">
        <v>106</v>
      </c>
      <c r="C23" s="2">
        <v>150</v>
      </c>
      <c r="D23" s="2">
        <v>180</v>
      </c>
      <c r="E23" s="5">
        <f>0.4*150/150</f>
        <v>0.4</v>
      </c>
      <c r="F23" s="5">
        <f>0.4*180/150</f>
        <v>0.48</v>
      </c>
      <c r="G23" s="5"/>
      <c r="H23" s="5"/>
      <c r="I23" s="5">
        <f>9.7*150/150</f>
        <v>9.7</v>
      </c>
      <c r="J23" s="5">
        <f>9.7*180/150</f>
        <v>11.639999999999999</v>
      </c>
      <c r="K23" s="5">
        <f>50*150/150</f>
        <v>50</v>
      </c>
      <c r="L23" s="5">
        <f>50*180/150</f>
        <v>60</v>
      </c>
    </row>
    <row r="24" spans="1:12" ht="15.75" customHeight="1">
      <c r="A24" s="62" t="s">
        <v>9</v>
      </c>
      <c r="B24" s="63"/>
      <c r="C24" s="63"/>
      <c r="D24" s="64"/>
      <c r="E24" s="6">
        <f>SUM(E20:E23)</f>
        <v>14.729999999999999</v>
      </c>
      <c r="F24" s="6">
        <f aca="true" t="shared" si="1" ref="F24:L24">SUM(F20:F23)</f>
        <v>17.422</v>
      </c>
      <c r="G24" s="6">
        <f t="shared" si="1"/>
        <v>20.05</v>
      </c>
      <c r="H24" s="6">
        <f t="shared" si="1"/>
        <v>26.823999999999998</v>
      </c>
      <c r="I24" s="6">
        <f t="shared" si="1"/>
        <v>52.099999999999994</v>
      </c>
      <c r="J24" s="6">
        <f t="shared" si="1"/>
        <v>53.964</v>
      </c>
      <c r="K24" s="6">
        <f t="shared" si="1"/>
        <v>353.59666666666664</v>
      </c>
      <c r="L24" s="6">
        <f t="shared" si="1"/>
        <v>536.2</v>
      </c>
    </row>
    <row r="25" spans="1:12" ht="15.75" customHeight="1">
      <c r="A25" s="71" t="s">
        <v>18</v>
      </c>
      <c r="B25" s="72"/>
      <c r="C25" s="72"/>
      <c r="D25" s="73"/>
      <c r="E25" s="9">
        <f>E7+E10+E18+E24</f>
        <v>48.49156043956044</v>
      </c>
      <c r="F25" s="9">
        <f aca="true" t="shared" si="2" ref="F25:L25">F7+F10+F18+F24</f>
        <v>57.303257326007326</v>
      </c>
      <c r="G25" s="9">
        <f t="shared" si="2"/>
        <v>66.11114583333332</v>
      </c>
      <c r="H25" s="9">
        <f t="shared" si="2"/>
        <v>84.40043229166666</v>
      </c>
      <c r="I25" s="9">
        <f t="shared" si="2"/>
        <v>179.12731005322803</v>
      </c>
      <c r="J25" s="9">
        <f t="shared" si="2"/>
        <v>215.26813756653502</v>
      </c>
      <c r="K25" s="9">
        <f t="shared" si="2"/>
        <v>1506.8473919413918</v>
      </c>
      <c r="L25" s="9">
        <f t="shared" si="2"/>
        <v>2022.5738232600734</v>
      </c>
    </row>
    <row r="26" spans="1:12" ht="15.75" customHeight="1">
      <c r="A26" s="53" t="s">
        <v>19</v>
      </c>
      <c r="B26" s="54"/>
      <c r="C26" s="57" t="s">
        <v>1</v>
      </c>
      <c r="D26" s="58"/>
      <c r="E26" s="57" t="s">
        <v>2</v>
      </c>
      <c r="F26" s="58"/>
      <c r="G26" s="57" t="s">
        <v>3</v>
      </c>
      <c r="H26" s="58"/>
      <c r="I26" s="57" t="s">
        <v>4</v>
      </c>
      <c r="J26" s="58"/>
      <c r="K26" s="57" t="s">
        <v>5</v>
      </c>
      <c r="L26" s="58"/>
    </row>
    <row r="27" spans="1:12" ht="15.75" customHeight="1">
      <c r="A27" s="55"/>
      <c r="B27" s="56"/>
      <c r="C27" s="24" t="s">
        <v>41</v>
      </c>
      <c r="D27" s="24" t="s">
        <v>42</v>
      </c>
      <c r="E27" s="24" t="s">
        <v>41</v>
      </c>
      <c r="F27" s="24" t="s">
        <v>42</v>
      </c>
      <c r="G27" s="24" t="s">
        <v>41</v>
      </c>
      <c r="H27" s="24" t="s">
        <v>42</v>
      </c>
      <c r="I27" s="24" t="s">
        <v>41</v>
      </c>
      <c r="J27" s="24" t="s">
        <v>42</v>
      </c>
      <c r="K27" s="24" t="s">
        <v>41</v>
      </c>
      <c r="L27" s="24" t="s">
        <v>42</v>
      </c>
    </row>
    <row r="28" spans="1:12" ht="15.75" customHeight="1">
      <c r="A28" s="65" t="s">
        <v>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31.5">
      <c r="A29" s="1">
        <v>1</v>
      </c>
      <c r="B29" s="20" t="s">
        <v>108</v>
      </c>
      <c r="C29" s="8" t="s">
        <v>107</v>
      </c>
      <c r="D29" s="8" t="s">
        <v>109</v>
      </c>
      <c r="E29" s="10">
        <v>24.26</v>
      </c>
      <c r="F29" s="10">
        <v>30.34</v>
      </c>
      <c r="G29" s="10">
        <v>8.31</v>
      </c>
      <c r="H29" s="10">
        <v>10.39</v>
      </c>
      <c r="I29" s="10">
        <v>39.75</v>
      </c>
      <c r="J29" s="10">
        <v>49.69</v>
      </c>
      <c r="K29" s="10">
        <v>200.2</v>
      </c>
      <c r="L29" s="10">
        <v>313.51</v>
      </c>
    </row>
    <row r="30" spans="1:12" ht="15.75">
      <c r="A30" s="1">
        <v>2</v>
      </c>
      <c r="B30" s="1" t="s">
        <v>43</v>
      </c>
      <c r="C30" s="2">
        <v>180</v>
      </c>
      <c r="D30" s="2">
        <v>200</v>
      </c>
      <c r="E30" s="5">
        <f>F30*C30/D30</f>
        <v>0.10799999999999998</v>
      </c>
      <c r="F30" s="5">
        <v>0.12</v>
      </c>
      <c r="G30" s="5"/>
      <c r="H30" s="5"/>
      <c r="I30" s="5">
        <f>J30*C30/D30</f>
        <v>10.835999999999999</v>
      </c>
      <c r="J30" s="5">
        <v>12.04</v>
      </c>
      <c r="K30" s="5">
        <f>L30*C30/D30</f>
        <v>43.776</v>
      </c>
      <c r="L30" s="5">
        <v>48.64</v>
      </c>
    </row>
    <row r="31" spans="1:12" ht="15.75">
      <c r="A31" s="1">
        <v>3</v>
      </c>
      <c r="B31" s="1" t="s">
        <v>21</v>
      </c>
      <c r="C31" s="7" t="s">
        <v>50</v>
      </c>
      <c r="D31" s="2" t="s">
        <v>51</v>
      </c>
      <c r="E31" s="5">
        <f>30*2.16/40</f>
        <v>1.6200000000000003</v>
      </c>
      <c r="F31" s="5">
        <v>2.16</v>
      </c>
      <c r="G31" s="5">
        <f>30*7.58/40</f>
        <v>5.6850000000000005</v>
      </c>
      <c r="H31" s="5">
        <v>7.58</v>
      </c>
      <c r="I31" s="5">
        <f>30*15.99/40</f>
        <v>11.9925</v>
      </c>
      <c r="J31" s="5">
        <v>15.99</v>
      </c>
      <c r="K31" s="5">
        <f>150.64*30/40</f>
        <v>112.97999999999999</v>
      </c>
      <c r="L31" s="5">
        <v>160.64</v>
      </c>
    </row>
    <row r="32" spans="1:12" ht="15.75" customHeight="1">
      <c r="A32" s="62" t="s">
        <v>9</v>
      </c>
      <c r="B32" s="63"/>
      <c r="C32" s="63"/>
      <c r="D32" s="64"/>
      <c r="E32" s="6">
        <f>SUM(E29:E31)</f>
        <v>25.988000000000003</v>
      </c>
      <c r="F32" s="6">
        <v>12.66</v>
      </c>
      <c r="G32" s="6">
        <f>SUM(G29:G31)</f>
        <v>13.995000000000001</v>
      </c>
      <c r="H32" s="6">
        <v>17.89</v>
      </c>
      <c r="I32" s="6">
        <f>SUM(I29:I31)</f>
        <v>62.5785</v>
      </c>
      <c r="J32" s="6">
        <v>60.5</v>
      </c>
      <c r="K32" s="6">
        <f>SUM(K29:K31)</f>
        <v>356.956</v>
      </c>
      <c r="L32" s="6">
        <v>453.63</v>
      </c>
    </row>
    <row r="33" spans="1:12" ht="15.75" customHeight="1">
      <c r="A33" s="65" t="s">
        <v>10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</row>
    <row r="34" spans="1:12" ht="15.75">
      <c r="A34" s="1">
        <v>1</v>
      </c>
      <c r="B34" s="1" t="s">
        <v>112</v>
      </c>
      <c r="C34" s="2">
        <v>100</v>
      </c>
      <c r="D34" s="22">
        <v>150</v>
      </c>
      <c r="E34" s="5">
        <f>F34*$C$149/$D$149</f>
        <v>0.4266666666666667</v>
      </c>
      <c r="F34" s="5">
        <v>0.64</v>
      </c>
      <c r="G34" s="21"/>
      <c r="H34" s="21"/>
      <c r="I34" s="5">
        <f>J34*$C$149/$D$149</f>
        <v>10.08</v>
      </c>
      <c r="J34" s="5">
        <v>15.12</v>
      </c>
      <c r="K34" s="5">
        <f>L34*$C$149/$D$149</f>
        <v>43.13999999999999</v>
      </c>
      <c r="L34" s="5">
        <v>64.71</v>
      </c>
    </row>
    <row r="35" spans="1:12" ht="15.75" customHeight="1">
      <c r="A35" s="62" t="s">
        <v>9</v>
      </c>
      <c r="B35" s="63"/>
      <c r="C35" s="63"/>
      <c r="D35" s="64"/>
      <c r="E35" s="6">
        <f>SUM(E34)</f>
        <v>0.4266666666666667</v>
      </c>
      <c r="F35" s="3">
        <v>0.64</v>
      </c>
      <c r="G35" s="3"/>
      <c r="H35" s="3"/>
      <c r="I35" s="6">
        <f>SUM(I34)</f>
        <v>10.08</v>
      </c>
      <c r="J35" s="3">
        <v>15.12</v>
      </c>
      <c r="K35" s="6">
        <f>SUM(K34)</f>
        <v>43.13999999999999</v>
      </c>
      <c r="L35" s="3">
        <v>64.71</v>
      </c>
    </row>
    <row r="36" spans="1:12" ht="15.75" customHeight="1">
      <c r="A36" s="65" t="s">
        <v>11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12" ht="31.5">
      <c r="A37" s="2">
        <v>1</v>
      </c>
      <c r="B37" s="11" t="s">
        <v>23</v>
      </c>
      <c r="C37" s="8" t="s">
        <v>52</v>
      </c>
      <c r="D37" s="8" t="s">
        <v>113</v>
      </c>
      <c r="E37" s="10">
        <v>7.44</v>
      </c>
      <c r="F37" s="10">
        <v>9.3</v>
      </c>
      <c r="G37" s="10">
        <v>5.85</v>
      </c>
      <c r="H37" s="10">
        <v>7.31</v>
      </c>
      <c r="I37" s="10">
        <v>14.33</v>
      </c>
      <c r="J37" s="10">
        <v>17.91</v>
      </c>
      <c r="K37" s="10">
        <v>139.73</v>
      </c>
      <c r="L37" s="10">
        <v>174.66</v>
      </c>
    </row>
    <row r="38" spans="1:12" ht="31.5" customHeight="1">
      <c r="A38" s="2">
        <v>2</v>
      </c>
      <c r="B38" s="11" t="s">
        <v>24</v>
      </c>
      <c r="C38" s="8">
        <v>120</v>
      </c>
      <c r="D38" s="8">
        <v>140</v>
      </c>
      <c r="E38" s="10">
        <v>12.43</v>
      </c>
      <c r="F38" s="10">
        <v>14.52</v>
      </c>
      <c r="G38" s="10">
        <v>6.87</v>
      </c>
      <c r="H38" s="10">
        <v>8.03</v>
      </c>
      <c r="I38" s="10">
        <v>6.41</v>
      </c>
      <c r="J38" s="10">
        <v>7.51</v>
      </c>
      <c r="K38" s="10">
        <v>137.21</v>
      </c>
      <c r="L38" s="10">
        <v>160.29</v>
      </c>
    </row>
    <row r="39" spans="1:12" ht="15.75">
      <c r="A39" s="2">
        <v>3</v>
      </c>
      <c r="B39" s="1" t="s">
        <v>25</v>
      </c>
      <c r="C39" s="2">
        <v>150</v>
      </c>
      <c r="D39" s="2">
        <v>180</v>
      </c>
      <c r="E39" s="5">
        <f>3.89</f>
        <v>3.89</v>
      </c>
      <c r="F39" s="5">
        <f>$D$39*2.59/100</f>
        <v>4.662</v>
      </c>
      <c r="G39" s="5">
        <f>$C$39*3.39/100</f>
        <v>5.085</v>
      </c>
      <c r="H39" s="5">
        <f>$D$39*3.39/100</f>
        <v>6.102</v>
      </c>
      <c r="I39" s="5">
        <f>$C$39*26.85/100</f>
        <v>40.275</v>
      </c>
      <c r="J39" s="5">
        <f>$D$39*26.85/100</f>
        <v>48.33</v>
      </c>
      <c r="K39" s="5">
        <v>201.5</v>
      </c>
      <c r="L39" s="5">
        <f>$D$39*K39/150</f>
        <v>241.8</v>
      </c>
    </row>
    <row r="40" spans="1:12" ht="16.5" customHeight="1">
      <c r="A40" s="2">
        <v>4</v>
      </c>
      <c r="B40" s="1" t="s">
        <v>114</v>
      </c>
      <c r="C40" s="2">
        <v>40</v>
      </c>
      <c r="D40" s="2">
        <v>60</v>
      </c>
      <c r="E40" s="5">
        <f>0.36*40/45.5</f>
        <v>0.31648351648351647</v>
      </c>
      <c r="F40" s="5">
        <f>0.36*60/45.5</f>
        <v>0.4747252747252747</v>
      </c>
      <c r="G40" s="5"/>
      <c r="H40" s="5"/>
      <c r="I40" s="5">
        <v>1.5</v>
      </c>
      <c r="J40" s="5">
        <f>I40*60/40</f>
        <v>2.25</v>
      </c>
      <c r="K40" s="5">
        <f>51.8*40/45.5</f>
        <v>45.53846153846154</v>
      </c>
      <c r="L40" s="5">
        <f>51.8*60/45.5</f>
        <v>68.3076923076923</v>
      </c>
    </row>
    <row r="41" spans="1:12" ht="15.75">
      <c r="A41" s="2">
        <v>5</v>
      </c>
      <c r="B41" s="1" t="s">
        <v>115</v>
      </c>
      <c r="C41" s="2">
        <v>180</v>
      </c>
      <c r="D41" s="2">
        <v>200</v>
      </c>
      <c r="E41" s="5">
        <f>F41*C41/D41</f>
        <v>0.10799999999999998</v>
      </c>
      <c r="F41" s="5">
        <v>0.12</v>
      </c>
      <c r="G41" s="5"/>
      <c r="H41" s="5"/>
      <c r="I41" s="5">
        <f>J41*C41/D41</f>
        <v>19.034999999999997</v>
      </c>
      <c r="J41" s="5">
        <v>21.15</v>
      </c>
      <c r="K41" s="5">
        <f>L41*E41/F41</f>
        <v>76.56299999999999</v>
      </c>
      <c r="L41" s="5">
        <v>85.07</v>
      </c>
    </row>
    <row r="42" spans="1:12" ht="15.75">
      <c r="A42" s="2">
        <v>6</v>
      </c>
      <c r="B42" s="1" t="s">
        <v>15</v>
      </c>
      <c r="C42" s="2">
        <v>40</v>
      </c>
      <c r="D42" s="2">
        <v>50</v>
      </c>
      <c r="E42" s="5">
        <f>C42*2.81/60</f>
        <v>1.8733333333333335</v>
      </c>
      <c r="F42" s="5">
        <f>D42*2.81/60</f>
        <v>2.341666666666667</v>
      </c>
      <c r="G42" s="5">
        <f>C42*0.44/60</f>
        <v>0.29333333333333333</v>
      </c>
      <c r="H42" s="5">
        <f>D42*0.44/60</f>
        <v>0.36666666666666664</v>
      </c>
      <c r="I42" s="5">
        <f>C42*23.52/60</f>
        <v>15.68</v>
      </c>
      <c r="J42" s="5">
        <f>D42*23.52/60</f>
        <v>19.6</v>
      </c>
      <c r="K42" s="5">
        <f>C42*111.56/60</f>
        <v>74.37333333333332</v>
      </c>
      <c r="L42" s="5">
        <f>D42*111.56/60</f>
        <v>92.96666666666667</v>
      </c>
    </row>
    <row r="43" spans="1:12" ht="15.75" customHeight="1">
      <c r="A43" s="62" t="s">
        <v>9</v>
      </c>
      <c r="B43" s="63"/>
      <c r="C43" s="63"/>
      <c r="D43" s="64"/>
      <c r="E43" s="6">
        <f>SUM(E37:E42)</f>
        <v>26.057816849816852</v>
      </c>
      <c r="F43" s="6">
        <v>25.54</v>
      </c>
      <c r="G43" s="6">
        <f>SUM(G37:G42)</f>
        <v>18.098333333333333</v>
      </c>
      <c r="H43" s="6">
        <v>16.55</v>
      </c>
      <c r="I43" s="6">
        <f>SUM(I37:I42)</f>
        <v>97.22999999999999</v>
      </c>
      <c r="J43" s="6">
        <v>103.43</v>
      </c>
      <c r="K43" s="6">
        <f>SUM(K37:K42)</f>
        <v>674.9147948717948</v>
      </c>
      <c r="L43" s="6">
        <f>SUM(L37:L42)</f>
        <v>823.094358974359</v>
      </c>
    </row>
    <row r="44" spans="1:12" ht="15.75" customHeight="1">
      <c r="A44" s="68" t="s">
        <v>16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/>
    </row>
    <row r="45" spans="1:12" ht="18" customHeight="1">
      <c r="A45" s="1">
        <v>1</v>
      </c>
      <c r="B45" s="1" t="s">
        <v>116</v>
      </c>
      <c r="C45" s="2">
        <v>60</v>
      </c>
      <c r="D45" s="7" t="s">
        <v>117</v>
      </c>
      <c r="E45" s="5">
        <v>7.08</v>
      </c>
      <c r="F45" s="5">
        <f>E45*D45/C45</f>
        <v>8.26</v>
      </c>
      <c r="G45" s="5">
        <v>2.63</v>
      </c>
      <c r="H45" s="5">
        <f>G45*F45/E45</f>
        <v>3.068333333333333</v>
      </c>
      <c r="I45" s="5">
        <v>41.81</v>
      </c>
      <c r="J45" s="5">
        <f>I45*H45/G45</f>
        <v>48.778333333333336</v>
      </c>
      <c r="K45" s="5">
        <v>219.07</v>
      </c>
      <c r="L45" s="5">
        <f>K45*J45/I45</f>
        <v>255.58166666666668</v>
      </c>
    </row>
    <row r="46" spans="1:12" ht="15.75">
      <c r="A46" s="1">
        <v>2</v>
      </c>
      <c r="B46" s="1" t="s">
        <v>118</v>
      </c>
      <c r="C46" s="2">
        <v>180</v>
      </c>
      <c r="D46" s="2">
        <v>200</v>
      </c>
      <c r="E46" s="5">
        <f>F46*C46/D46</f>
        <v>5.039999999999999</v>
      </c>
      <c r="F46" s="5">
        <v>5.6</v>
      </c>
      <c r="G46" s="5">
        <f>H46*E46/F46</f>
        <v>5.741999999999999</v>
      </c>
      <c r="H46" s="5">
        <v>6.38</v>
      </c>
      <c r="I46" s="5">
        <f>J46*G46/H46</f>
        <v>7.361999999999999</v>
      </c>
      <c r="J46" s="5">
        <v>8.18</v>
      </c>
      <c r="K46" s="5">
        <f>L46*I46/J46</f>
        <v>101.268</v>
      </c>
      <c r="L46" s="5">
        <v>112.52</v>
      </c>
    </row>
    <row r="47" spans="1:12" ht="15.75" customHeight="1">
      <c r="A47" s="62" t="s">
        <v>9</v>
      </c>
      <c r="B47" s="63"/>
      <c r="C47" s="63"/>
      <c r="D47" s="64"/>
      <c r="E47" s="6">
        <f aca="true" t="shared" si="3" ref="E47:L47">SUM(E45:E46)</f>
        <v>12.12</v>
      </c>
      <c r="F47" s="6">
        <f t="shared" si="3"/>
        <v>13.86</v>
      </c>
      <c r="G47" s="6">
        <f t="shared" si="3"/>
        <v>8.372</v>
      </c>
      <c r="H47" s="6">
        <f t="shared" si="3"/>
        <v>9.448333333333332</v>
      </c>
      <c r="I47" s="6">
        <f t="shared" si="3"/>
        <v>49.172000000000004</v>
      </c>
      <c r="J47" s="6">
        <f t="shared" si="3"/>
        <v>56.958333333333336</v>
      </c>
      <c r="K47" s="6">
        <f t="shared" si="3"/>
        <v>320.33799999999997</v>
      </c>
      <c r="L47" s="6">
        <f t="shared" si="3"/>
        <v>368.1016666666667</v>
      </c>
    </row>
    <row r="48" spans="1:12" ht="15.75" customHeight="1">
      <c r="A48" s="71" t="s">
        <v>18</v>
      </c>
      <c r="B48" s="72"/>
      <c r="C48" s="72"/>
      <c r="D48" s="73"/>
      <c r="E48" s="9">
        <f>E32+E35+E43+E47</f>
        <v>64.59248351648353</v>
      </c>
      <c r="F48" s="9">
        <f aca="true" t="shared" si="4" ref="F48:L48">F32+F35+F43+F47</f>
        <v>52.7</v>
      </c>
      <c r="G48" s="9">
        <f t="shared" si="4"/>
        <v>40.465333333333334</v>
      </c>
      <c r="H48" s="9">
        <f t="shared" si="4"/>
        <v>43.88833333333333</v>
      </c>
      <c r="I48" s="9">
        <f t="shared" si="4"/>
        <v>219.0605</v>
      </c>
      <c r="J48" s="9">
        <f t="shared" si="4"/>
        <v>236.00833333333335</v>
      </c>
      <c r="K48" s="9">
        <f t="shared" si="4"/>
        <v>1395.3487948717948</v>
      </c>
      <c r="L48" s="9">
        <f t="shared" si="4"/>
        <v>1709.5360256410256</v>
      </c>
    </row>
    <row r="49" spans="1:12" ht="15.75" customHeight="1">
      <c r="A49" s="53" t="s">
        <v>27</v>
      </c>
      <c r="B49" s="54"/>
      <c r="C49" s="57" t="s">
        <v>1</v>
      </c>
      <c r="D49" s="58"/>
      <c r="E49" s="57" t="s">
        <v>2</v>
      </c>
      <c r="F49" s="58"/>
      <c r="G49" s="57" t="s">
        <v>3</v>
      </c>
      <c r="H49" s="58"/>
      <c r="I49" s="57" t="s">
        <v>4</v>
      </c>
      <c r="J49" s="58"/>
      <c r="K49" s="57" t="s">
        <v>5</v>
      </c>
      <c r="L49" s="58"/>
    </row>
    <row r="50" spans="1:12" ht="15.75" customHeight="1">
      <c r="A50" s="55"/>
      <c r="B50" s="56"/>
      <c r="C50" s="24" t="s">
        <v>41</v>
      </c>
      <c r="D50" s="24" t="s">
        <v>42</v>
      </c>
      <c r="E50" s="24" t="s">
        <v>41</v>
      </c>
      <c r="F50" s="24" t="s">
        <v>42</v>
      </c>
      <c r="G50" s="24" t="s">
        <v>41</v>
      </c>
      <c r="H50" s="24" t="s">
        <v>42</v>
      </c>
      <c r="I50" s="24" t="s">
        <v>41</v>
      </c>
      <c r="J50" s="24" t="s">
        <v>42</v>
      </c>
      <c r="K50" s="24" t="s">
        <v>41</v>
      </c>
      <c r="L50" s="24" t="s">
        <v>42</v>
      </c>
    </row>
    <row r="51" spans="1:12" ht="15.75" customHeight="1">
      <c r="A51" s="65" t="s">
        <v>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</row>
    <row r="52" spans="1:12" ht="15.75">
      <c r="A52" s="1">
        <v>1</v>
      </c>
      <c r="B52" s="1" t="s">
        <v>119</v>
      </c>
      <c r="C52" s="2">
        <v>200</v>
      </c>
      <c r="D52" s="2">
        <v>250</v>
      </c>
      <c r="E52" s="5">
        <v>4.94</v>
      </c>
      <c r="F52" s="5">
        <v>6.18</v>
      </c>
      <c r="G52" s="5">
        <v>6.06</v>
      </c>
      <c r="H52" s="5">
        <v>7.58</v>
      </c>
      <c r="I52" s="5">
        <v>18.62</v>
      </c>
      <c r="J52" s="5">
        <v>23.28</v>
      </c>
      <c r="K52" s="5">
        <f>L52*C52/D52</f>
        <v>200.5</v>
      </c>
      <c r="L52" s="5">
        <f>200.5*$D$52/$C$52</f>
        <v>250.625</v>
      </c>
    </row>
    <row r="53" spans="1:12" ht="15.75">
      <c r="A53" s="1">
        <v>2</v>
      </c>
      <c r="B53" s="1" t="s">
        <v>57</v>
      </c>
      <c r="C53" s="2">
        <v>180</v>
      </c>
      <c r="D53" s="2">
        <v>200</v>
      </c>
      <c r="E53" s="5">
        <f>F53*C53/D53</f>
        <v>0.063</v>
      </c>
      <c r="F53" s="5">
        <v>0.07</v>
      </c>
      <c r="G53" s="5">
        <f>H53*C53/D53</f>
        <v>0.009000000000000001</v>
      </c>
      <c r="H53" s="5">
        <v>0.01</v>
      </c>
      <c r="I53" s="5">
        <f>J53*C53/D53</f>
        <v>13.779000000000002</v>
      </c>
      <c r="J53" s="5">
        <v>15.31</v>
      </c>
      <c r="K53" s="5">
        <f>L53*C53/D53</f>
        <v>55.458</v>
      </c>
      <c r="L53" s="5">
        <v>61.62</v>
      </c>
    </row>
    <row r="54" spans="1:12" ht="15.75">
      <c r="A54" s="1">
        <v>3</v>
      </c>
      <c r="B54" s="1" t="s">
        <v>21</v>
      </c>
      <c r="C54" s="7" t="s">
        <v>50</v>
      </c>
      <c r="D54" s="2" t="s">
        <v>51</v>
      </c>
      <c r="E54" s="5">
        <f>30*2.16/40</f>
        <v>1.6200000000000003</v>
      </c>
      <c r="F54" s="5">
        <v>2.16</v>
      </c>
      <c r="G54" s="5">
        <f>30*7.58/40</f>
        <v>5.6850000000000005</v>
      </c>
      <c r="H54" s="5">
        <v>7.58</v>
      </c>
      <c r="I54" s="5">
        <f>30*15.99/40</f>
        <v>11.9925</v>
      </c>
      <c r="J54" s="5">
        <v>15.99</v>
      </c>
      <c r="K54" s="5">
        <f>150.64*30/40</f>
        <v>112.97999999999999</v>
      </c>
      <c r="L54" s="5">
        <v>160.64</v>
      </c>
    </row>
    <row r="55" spans="1:12" ht="15.75" customHeight="1">
      <c r="A55" s="62" t="s">
        <v>9</v>
      </c>
      <c r="B55" s="63"/>
      <c r="C55" s="63"/>
      <c r="D55" s="64"/>
      <c r="E55" s="6">
        <f>SUM(E52:E54)</f>
        <v>6.623</v>
      </c>
      <c r="F55" s="6">
        <f>SUM(F52:F54)</f>
        <v>8.41</v>
      </c>
      <c r="G55" s="6">
        <f aca="true" t="shared" si="5" ref="G55:L55">SUM(G52:G54)</f>
        <v>11.754000000000001</v>
      </c>
      <c r="H55" s="6">
        <f t="shared" si="5"/>
        <v>15.17</v>
      </c>
      <c r="I55" s="6">
        <f t="shared" si="5"/>
        <v>44.3915</v>
      </c>
      <c r="J55" s="6">
        <f t="shared" si="5"/>
        <v>54.580000000000005</v>
      </c>
      <c r="K55" s="6">
        <f t="shared" si="5"/>
        <v>368.938</v>
      </c>
      <c r="L55" s="6">
        <f t="shared" si="5"/>
        <v>472.885</v>
      </c>
    </row>
    <row r="56" spans="1:12" ht="15.75" customHeight="1">
      <c r="A56" s="65" t="s">
        <v>10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7"/>
    </row>
    <row r="57" spans="1:12" ht="15.75" customHeight="1">
      <c r="A57" s="1">
        <v>1</v>
      </c>
      <c r="B57" s="1" t="s">
        <v>120</v>
      </c>
      <c r="C57" s="2">
        <v>100</v>
      </c>
      <c r="D57" s="22">
        <v>150</v>
      </c>
      <c r="E57" s="5"/>
      <c r="F57" s="21"/>
      <c r="G57" s="21"/>
      <c r="H57" s="21"/>
      <c r="I57" s="5">
        <v>11</v>
      </c>
      <c r="J57" s="21">
        <f>I57*D57/C57</f>
        <v>16.5</v>
      </c>
      <c r="K57" s="5">
        <v>44</v>
      </c>
      <c r="L57" s="21">
        <f>K57*D57/C57</f>
        <v>66</v>
      </c>
    </row>
    <row r="58" spans="1:12" ht="15.75" customHeight="1">
      <c r="A58" s="62" t="s">
        <v>9</v>
      </c>
      <c r="B58" s="63"/>
      <c r="C58" s="63"/>
      <c r="D58" s="64"/>
      <c r="E58" s="6">
        <f>SUM(E57)</f>
        <v>0</v>
      </c>
      <c r="F58" s="6">
        <f aca="true" t="shared" si="6" ref="F58:L58">SUM(F57)</f>
        <v>0</v>
      </c>
      <c r="G58" s="6">
        <f t="shared" si="6"/>
        <v>0</v>
      </c>
      <c r="H58" s="6">
        <f t="shared" si="6"/>
        <v>0</v>
      </c>
      <c r="I58" s="6">
        <f t="shared" si="6"/>
        <v>11</v>
      </c>
      <c r="J58" s="6">
        <f t="shared" si="6"/>
        <v>16.5</v>
      </c>
      <c r="K58" s="6">
        <f t="shared" si="6"/>
        <v>44</v>
      </c>
      <c r="L58" s="6">
        <f t="shared" si="6"/>
        <v>66</v>
      </c>
    </row>
    <row r="59" spans="1:12" ht="15.75" customHeight="1">
      <c r="A59" s="65" t="s">
        <v>11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7"/>
    </row>
    <row r="60" spans="1:12" ht="15.75">
      <c r="A60" s="1">
        <v>1</v>
      </c>
      <c r="B60" s="20" t="s">
        <v>121</v>
      </c>
      <c r="C60" s="8">
        <v>200</v>
      </c>
      <c r="D60" s="8">
        <v>250</v>
      </c>
      <c r="E60" s="10">
        <v>4.02</v>
      </c>
      <c r="F60" s="10">
        <v>5.03</v>
      </c>
      <c r="G60" s="10">
        <v>9.04</v>
      </c>
      <c r="H60" s="10">
        <v>11.3</v>
      </c>
      <c r="I60" s="10">
        <v>25.9</v>
      </c>
      <c r="J60" s="10">
        <v>32.38</v>
      </c>
      <c r="K60" s="10">
        <v>119.68</v>
      </c>
      <c r="L60" s="10">
        <v>149.6</v>
      </c>
    </row>
    <row r="61" spans="1:12" ht="15.75">
      <c r="A61" s="1">
        <v>2</v>
      </c>
      <c r="B61" s="1" t="s">
        <v>122</v>
      </c>
      <c r="C61" s="2">
        <v>60</v>
      </c>
      <c r="D61" s="8">
        <v>70</v>
      </c>
      <c r="E61" s="5">
        <v>15.6</v>
      </c>
      <c r="F61" s="21">
        <v>18.22</v>
      </c>
      <c r="G61" s="5">
        <v>15.6</v>
      </c>
      <c r="H61" s="21">
        <f>G61*$D$61/$C$61</f>
        <v>18.2</v>
      </c>
      <c r="I61" s="5">
        <v>0.83</v>
      </c>
      <c r="J61" s="21">
        <f>I61*$D$61/$C$61</f>
        <v>0.9683333333333333</v>
      </c>
      <c r="K61" s="5">
        <v>257.74</v>
      </c>
      <c r="L61" s="21">
        <v>322.68</v>
      </c>
    </row>
    <row r="62" spans="1:12" ht="15.75">
      <c r="A62" s="1">
        <v>3</v>
      </c>
      <c r="B62" s="11" t="s">
        <v>123</v>
      </c>
      <c r="C62" s="8">
        <v>150</v>
      </c>
      <c r="D62" s="15">
        <v>180</v>
      </c>
      <c r="E62" s="10">
        <v>5.52</v>
      </c>
      <c r="F62" s="16">
        <v>6.24</v>
      </c>
      <c r="G62" s="10">
        <v>5.3</v>
      </c>
      <c r="H62" s="16">
        <f>G62*$D$107/$C$107</f>
        <v>7.95</v>
      </c>
      <c r="I62" s="10">
        <v>35.33</v>
      </c>
      <c r="J62" s="16">
        <f>I62*$D$107/$C$107</f>
        <v>52.99499999999999</v>
      </c>
      <c r="K62" s="10">
        <v>195.25</v>
      </c>
      <c r="L62" s="16">
        <f>K62*$D$107/$C$107</f>
        <v>292.875</v>
      </c>
    </row>
    <row r="63" spans="1:12" ht="15.75">
      <c r="A63" s="1">
        <v>4</v>
      </c>
      <c r="B63" s="1" t="s">
        <v>32</v>
      </c>
      <c r="C63" s="2">
        <v>40</v>
      </c>
      <c r="D63" s="2">
        <v>60</v>
      </c>
      <c r="E63" s="5">
        <f>F63*$C$63/50</f>
        <v>0.84</v>
      </c>
      <c r="F63" s="5">
        <f>0.7*$D$63/$C$63</f>
        <v>1.05</v>
      </c>
      <c r="G63" s="5">
        <f>5.04*$C$63/50</f>
        <v>4.032</v>
      </c>
      <c r="H63" s="5">
        <f>5.04*$D$63/$C$63</f>
        <v>7.56</v>
      </c>
      <c r="I63" s="5">
        <f>4.61*$C$63/50</f>
        <v>3.688</v>
      </c>
      <c r="J63" s="5">
        <f>4.61*$D$63/$C$63</f>
        <v>6.915000000000001</v>
      </c>
      <c r="K63" s="5">
        <f>66.64*$C$63/50</f>
        <v>53.312</v>
      </c>
      <c r="L63" s="5">
        <f>66.64*$D$63/$C$63</f>
        <v>99.96000000000001</v>
      </c>
    </row>
    <row r="64" spans="1:12" ht="15.75">
      <c r="A64" s="1">
        <v>5</v>
      </c>
      <c r="B64" s="1" t="s">
        <v>14</v>
      </c>
      <c r="C64" s="2">
        <v>180</v>
      </c>
      <c r="D64" s="2">
        <v>200</v>
      </c>
      <c r="E64" s="5">
        <f>180*0.54/200</f>
        <v>0.486</v>
      </c>
      <c r="F64" s="5">
        <v>0.54</v>
      </c>
      <c r="G64" s="5"/>
      <c r="H64" s="5"/>
      <c r="I64" s="5">
        <f>180*J64/200</f>
        <v>25.065</v>
      </c>
      <c r="J64" s="5">
        <v>27.85</v>
      </c>
      <c r="K64" s="5">
        <f>180*L64/200</f>
        <v>96.93</v>
      </c>
      <c r="L64" s="5">
        <v>107.7</v>
      </c>
    </row>
    <row r="65" spans="1:12" ht="15.75">
      <c r="A65" s="1">
        <v>6</v>
      </c>
      <c r="B65" s="1" t="s">
        <v>33</v>
      </c>
      <c r="C65" s="2">
        <v>40</v>
      </c>
      <c r="D65" s="2">
        <v>60</v>
      </c>
      <c r="E65" s="5">
        <v>4.78</v>
      </c>
      <c r="F65" s="21">
        <f>E65*$C$64/$D$64</f>
        <v>4.3020000000000005</v>
      </c>
      <c r="G65" s="5">
        <v>1.96</v>
      </c>
      <c r="H65" s="21">
        <f>G65*$C$64/$D$64</f>
        <v>1.764</v>
      </c>
      <c r="I65" s="5">
        <v>35.86</v>
      </c>
      <c r="J65" s="21">
        <f>I65*$C$64/$D$64</f>
        <v>32.274</v>
      </c>
      <c r="K65" s="5">
        <f>L65*$C$228/$D$228</f>
        <v>104.26666666666667</v>
      </c>
      <c r="L65" s="21">
        <v>156.4</v>
      </c>
    </row>
    <row r="66" spans="1:12" ht="15.75" customHeight="1">
      <c r="A66" s="62" t="s">
        <v>9</v>
      </c>
      <c r="B66" s="63"/>
      <c r="C66" s="63"/>
      <c r="D66" s="64"/>
      <c r="E66" s="6">
        <f>SUM(E60:E65)</f>
        <v>31.246</v>
      </c>
      <c r="F66" s="6">
        <f aca="true" t="shared" si="7" ref="F66:L66">SUM(F60:F65)</f>
        <v>35.382000000000005</v>
      </c>
      <c r="G66" s="6">
        <f t="shared" si="7"/>
        <v>35.932</v>
      </c>
      <c r="H66" s="6">
        <f t="shared" si="7"/>
        <v>46.77400000000001</v>
      </c>
      <c r="I66" s="6">
        <f t="shared" si="7"/>
        <v>126.67299999999999</v>
      </c>
      <c r="J66" s="6">
        <f t="shared" si="7"/>
        <v>153.38233333333335</v>
      </c>
      <c r="K66" s="6">
        <f t="shared" si="7"/>
        <v>827.1786666666667</v>
      </c>
      <c r="L66" s="6">
        <f t="shared" si="7"/>
        <v>1129.2150000000001</v>
      </c>
    </row>
    <row r="67" spans="1:12" ht="15.75" customHeight="1">
      <c r="A67" s="68" t="s">
        <v>16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70"/>
    </row>
    <row r="68" spans="1:12" ht="17.25" customHeight="1">
      <c r="A68" s="1">
        <v>1</v>
      </c>
      <c r="B68" s="1" t="s">
        <v>34</v>
      </c>
      <c r="C68" s="2">
        <v>80</v>
      </c>
      <c r="D68" s="2">
        <v>100</v>
      </c>
      <c r="E68" s="5">
        <f>F68*C68/D68</f>
        <v>12.48</v>
      </c>
      <c r="F68" s="5">
        <v>15.6</v>
      </c>
      <c r="G68" s="5">
        <f>H68*C68/D68</f>
        <v>12.72</v>
      </c>
      <c r="H68" s="5">
        <v>15.9</v>
      </c>
      <c r="I68" s="5">
        <f>J68*C68/D68</f>
        <v>47.04</v>
      </c>
      <c r="J68" s="5">
        <v>58.8</v>
      </c>
      <c r="K68" s="5">
        <f>L68*C68/D68</f>
        <v>272.64</v>
      </c>
      <c r="L68" s="5">
        <v>340.8</v>
      </c>
    </row>
    <row r="69" spans="1:12" ht="15.75">
      <c r="A69" s="1">
        <v>2</v>
      </c>
      <c r="B69" s="1" t="s">
        <v>124</v>
      </c>
      <c r="C69" s="2">
        <v>180</v>
      </c>
      <c r="D69" s="2">
        <v>200</v>
      </c>
      <c r="E69" s="5">
        <f>F69*$C$69/$D$69</f>
        <v>5.031</v>
      </c>
      <c r="F69" s="5">
        <v>5.59</v>
      </c>
      <c r="G69" s="5">
        <f>H69*$C$69/$D$69</f>
        <v>5.742000000000001</v>
      </c>
      <c r="H69" s="5">
        <v>6.38</v>
      </c>
      <c r="I69" s="5">
        <f>J69*$C$69/$D$69</f>
        <v>8.442</v>
      </c>
      <c r="J69" s="5">
        <v>9.38</v>
      </c>
      <c r="K69" s="5">
        <f>L69*$C$69/$D$69</f>
        <v>105.579</v>
      </c>
      <c r="L69" s="5">
        <v>117.31</v>
      </c>
    </row>
    <row r="70" spans="1:12" ht="15.75" customHeight="1">
      <c r="A70" s="62" t="s">
        <v>9</v>
      </c>
      <c r="B70" s="63"/>
      <c r="C70" s="63"/>
      <c r="D70" s="64"/>
      <c r="E70" s="6">
        <f>SUM(E68:E69)</f>
        <v>17.511</v>
      </c>
      <c r="F70" s="6">
        <f aca="true" t="shared" si="8" ref="F70:L70">SUM(F68:F69)</f>
        <v>21.189999999999998</v>
      </c>
      <c r="G70" s="6">
        <f t="shared" si="8"/>
        <v>18.462000000000003</v>
      </c>
      <c r="H70" s="6">
        <f t="shared" si="8"/>
        <v>22.28</v>
      </c>
      <c r="I70" s="6">
        <f t="shared" si="8"/>
        <v>55.482</v>
      </c>
      <c r="J70" s="6">
        <f t="shared" si="8"/>
        <v>68.17999999999999</v>
      </c>
      <c r="K70" s="6">
        <f t="shared" si="8"/>
        <v>378.219</v>
      </c>
      <c r="L70" s="6">
        <f t="shared" si="8"/>
        <v>458.11</v>
      </c>
    </row>
    <row r="71" spans="1:12" ht="15.75" customHeight="1">
      <c r="A71" s="71" t="s">
        <v>18</v>
      </c>
      <c r="B71" s="72"/>
      <c r="C71" s="72"/>
      <c r="D71" s="73"/>
      <c r="E71" s="9">
        <f aca="true" t="shared" si="9" ref="E71:J71">E55+E58+E66+E70</f>
        <v>55.379999999999995</v>
      </c>
      <c r="F71" s="9">
        <f t="shared" si="9"/>
        <v>64.982</v>
      </c>
      <c r="G71" s="9">
        <f t="shared" si="9"/>
        <v>66.14800000000001</v>
      </c>
      <c r="H71" s="9">
        <f t="shared" si="9"/>
        <v>84.22400000000002</v>
      </c>
      <c r="I71" s="9">
        <f t="shared" si="9"/>
        <v>237.54649999999998</v>
      </c>
      <c r="J71" s="9">
        <f t="shared" si="9"/>
        <v>292.64233333333334</v>
      </c>
      <c r="K71" s="9">
        <f>K55+K58+K66+K70</f>
        <v>1618.3356666666668</v>
      </c>
      <c r="L71" s="9">
        <f>L55+L58+L66+L70</f>
        <v>2126.21</v>
      </c>
    </row>
    <row r="72" spans="1:12" ht="15.75" customHeight="1">
      <c r="A72" s="53" t="s">
        <v>35</v>
      </c>
      <c r="B72" s="54"/>
      <c r="C72" s="57" t="s">
        <v>1</v>
      </c>
      <c r="D72" s="58"/>
      <c r="E72" s="57" t="s">
        <v>2</v>
      </c>
      <c r="F72" s="58"/>
      <c r="G72" s="57" t="s">
        <v>3</v>
      </c>
      <c r="H72" s="58"/>
      <c r="I72" s="57" t="s">
        <v>4</v>
      </c>
      <c r="J72" s="58"/>
      <c r="K72" s="57" t="s">
        <v>5</v>
      </c>
      <c r="L72" s="58"/>
    </row>
    <row r="73" spans="1:12" ht="15.75" customHeight="1">
      <c r="A73" s="55"/>
      <c r="B73" s="56"/>
      <c r="C73" s="24" t="s">
        <v>41</v>
      </c>
      <c r="D73" s="24" t="s">
        <v>42</v>
      </c>
      <c r="E73" s="24" t="s">
        <v>41</v>
      </c>
      <c r="F73" s="24" t="s">
        <v>42</v>
      </c>
      <c r="G73" s="24" t="s">
        <v>41</v>
      </c>
      <c r="H73" s="24" t="s">
        <v>42</v>
      </c>
      <c r="I73" s="24" t="s">
        <v>41</v>
      </c>
      <c r="J73" s="24" t="s">
        <v>42</v>
      </c>
      <c r="K73" s="24" t="s">
        <v>41</v>
      </c>
      <c r="L73" s="24" t="s">
        <v>42</v>
      </c>
    </row>
    <row r="74" spans="1:12" ht="15.75" customHeight="1">
      <c r="A74" s="65" t="s">
        <v>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7"/>
    </row>
    <row r="75" spans="1:12" ht="31.5">
      <c r="A75" s="1">
        <v>1</v>
      </c>
      <c r="B75" s="20" t="s">
        <v>125</v>
      </c>
      <c r="C75" s="8">
        <v>200</v>
      </c>
      <c r="D75" s="8">
        <v>250</v>
      </c>
      <c r="E75" s="10">
        <v>6.33</v>
      </c>
      <c r="F75" s="16">
        <v>7.91</v>
      </c>
      <c r="G75" s="10">
        <v>8.9</v>
      </c>
      <c r="H75" s="16">
        <v>11.13</v>
      </c>
      <c r="I75" s="10">
        <v>25.49</v>
      </c>
      <c r="J75" s="16">
        <v>31.86</v>
      </c>
      <c r="K75" s="10">
        <v>207.38</v>
      </c>
      <c r="L75" s="16">
        <v>309.23</v>
      </c>
    </row>
    <row r="76" spans="1:12" ht="31.5">
      <c r="A76" s="1">
        <v>2</v>
      </c>
      <c r="B76" s="20" t="s">
        <v>17</v>
      </c>
      <c r="C76" s="8">
        <v>180</v>
      </c>
      <c r="D76" s="8">
        <v>200</v>
      </c>
      <c r="E76" s="10">
        <f>F76*C76/D76</f>
        <v>2.511</v>
      </c>
      <c r="F76" s="10">
        <v>2.79</v>
      </c>
      <c r="G76" s="10">
        <f>H76*E76/F76</f>
        <v>2.871</v>
      </c>
      <c r="H76" s="10">
        <v>3.19</v>
      </c>
      <c r="I76" s="10">
        <f>J76*G76/H76</f>
        <v>17.739</v>
      </c>
      <c r="J76" s="10">
        <v>19.71</v>
      </c>
      <c r="K76" s="10">
        <f>L76*I76/J76</f>
        <v>106.821</v>
      </c>
      <c r="L76" s="10">
        <v>118.69</v>
      </c>
    </row>
    <row r="77" spans="1:12" ht="16.5" customHeight="1">
      <c r="A77" s="1">
        <v>3</v>
      </c>
      <c r="B77" s="1" t="s">
        <v>8</v>
      </c>
      <c r="C77" s="2" t="s">
        <v>44</v>
      </c>
      <c r="D77" s="2" t="s">
        <v>45</v>
      </c>
      <c r="E77" s="5">
        <v>6.1</v>
      </c>
      <c r="F77" s="5">
        <v>12.8</v>
      </c>
      <c r="G77" s="5">
        <v>14.6</v>
      </c>
      <c r="H77" s="5">
        <v>19.6</v>
      </c>
      <c r="I77" s="5">
        <v>6.7</v>
      </c>
      <c r="J77" s="5">
        <v>7</v>
      </c>
      <c r="K77" s="5">
        <v>164</v>
      </c>
      <c r="L77" s="5">
        <v>204</v>
      </c>
    </row>
    <row r="78" spans="1:12" ht="15.75" customHeight="1">
      <c r="A78" s="62" t="s">
        <v>9</v>
      </c>
      <c r="B78" s="63"/>
      <c r="C78" s="63"/>
      <c r="D78" s="64"/>
      <c r="E78" s="6">
        <f>SUM(E75:E77)</f>
        <v>14.941</v>
      </c>
      <c r="F78" s="6">
        <f aca="true" t="shared" si="10" ref="F78:L78">SUM(F75:F77)</f>
        <v>23.5</v>
      </c>
      <c r="G78" s="6">
        <f t="shared" si="10"/>
        <v>26.371000000000002</v>
      </c>
      <c r="H78" s="6">
        <f t="shared" si="10"/>
        <v>33.92</v>
      </c>
      <c r="I78" s="6">
        <f t="shared" si="10"/>
        <v>49.929</v>
      </c>
      <c r="J78" s="6">
        <f t="shared" si="10"/>
        <v>58.57</v>
      </c>
      <c r="K78" s="6">
        <f t="shared" si="10"/>
        <v>478.201</v>
      </c>
      <c r="L78" s="6">
        <f t="shared" si="10"/>
        <v>631.9200000000001</v>
      </c>
    </row>
    <row r="79" spans="1:12" ht="15.75" customHeight="1">
      <c r="A79" s="65" t="s">
        <v>10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7"/>
    </row>
    <row r="80" spans="1:12" ht="15.75">
      <c r="A80" s="1">
        <v>1</v>
      </c>
      <c r="B80" s="1" t="s">
        <v>126</v>
      </c>
      <c r="C80" s="2">
        <v>100</v>
      </c>
      <c r="D80" s="2">
        <v>150</v>
      </c>
      <c r="E80" s="5">
        <f>0.4*100/150</f>
        <v>0.26666666666666666</v>
      </c>
      <c r="F80" s="5">
        <f>0.4*150/150</f>
        <v>0.4</v>
      </c>
      <c r="G80" s="5"/>
      <c r="H80" s="5"/>
      <c r="I80" s="5">
        <f>9.7*100/150</f>
        <v>6.466666666666666</v>
      </c>
      <c r="J80" s="5">
        <f>9.7*150/150</f>
        <v>9.7</v>
      </c>
      <c r="K80" s="5">
        <f>50*100/150</f>
        <v>33.333333333333336</v>
      </c>
      <c r="L80" s="5">
        <f>50*150/150</f>
        <v>50</v>
      </c>
    </row>
    <row r="81" spans="1:12" ht="15.75" customHeight="1">
      <c r="A81" s="62" t="s">
        <v>9</v>
      </c>
      <c r="B81" s="63"/>
      <c r="C81" s="63"/>
      <c r="D81" s="64"/>
      <c r="E81" s="6">
        <f>SUM(E80)</f>
        <v>0.26666666666666666</v>
      </c>
      <c r="F81" s="6">
        <f aca="true" t="shared" si="11" ref="F81:L81">SUM(F80)</f>
        <v>0.4</v>
      </c>
      <c r="G81" s="6">
        <f t="shared" si="11"/>
        <v>0</v>
      </c>
      <c r="H81" s="6">
        <f t="shared" si="11"/>
        <v>0</v>
      </c>
      <c r="I81" s="6">
        <f t="shared" si="11"/>
        <v>6.466666666666666</v>
      </c>
      <c r="J81" s="6">
        <f t="shared" si="11"/>
        <v>9.7</v>
      </c>
      <c r="K81" s="6">
        <f t="shared" si="11"/>
        <v>33.333333333333336</v>
      </c>
      <c r="L81" s="6">
        <f t="shared" si="11"/>
        <v>50</v>
      </c>
    </row>
    <row r="82" spans="1:12" ht="15.75" customHeight="1">
      <c r="A82" s="65" t="s">
        <v>11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7"/>
    </row>
    <row r="83" spans="1:12" ht="15.75" customHeight="1">
      <c r="A83" s="1">
        <v>1</v>
      </c>
      <c r="B83" s="20" t="s">
        <v>127</v>
      </c>
      <c r="C83" s="8">
        <v>200</v>
      </c>
      <c r="D83" s="8">
        <v>250</v>
      </c>
      <c r="E83" s="10">
        <v>1.96</v>
      </c>
      <c r="F83" s="10">
        <v>2.45</v>
      </c>
      <c r="G83" s="10">
        <v>3.91</v>
      </c>
      <c r="H83" s="10">
        <f>G83*$D$83/$C$83</f>
        <v>4.8875</v>
      </c>
      <c r="I83" s="10">
        <v>11.13</v>
      </c>
      <c r="J83" s="10">
        <f>I83*$D$83/$C$83</f>
        <v>13.9125</v>
      </c>
      <c r="K83" s="10">
        <v>87.5</v>
      </c>
      <c r="L83" s="10">
        <f>K83*$D$83/$C$83</f>
        <v>109.375</v>
      </c>
    </row>
    <row r="84" spans="1:12" ht="15.75">
      <c r="A84" s="1">
        <v>2</v>
      </c>
      <c r="B84" s="1" t="s">
        <v>128</v>
      </c>
      <c r="C84" s="2">
        <v>180</v>
      </c>
      <c r="D84" s="2">
        <v>210</v>
      </c>
      <c r="E84" s="5">
        <v>34.84</v>
      </c>
      <c r="F84" s="5">
        <v>37.2</v>
      </c>
      <c r="G84" s="5">
        <v>38.8</v>
      </c>
      <c r="H84" s="5">
        <v>45.33</v>
      </c>
      <c r="I84" s="5">
        <v>35.14</v>
      </c>
      <c r="J84" s="5">
        <v>41.05</v>
      </c>
      <c r="K84" s="5">
        <v>439.51</v>
      </c>
      <c r="L84" s="5">
        <v>547.09</v>
      </c>
    </row>
    <row r="85" spans="1:12" ht="15.75">
      <c r="A85" s="1">
        <v>3</v>
      </c>
      <c r="B85" s="1" t="s">
        <v>103</v>
      </c>
      <c r="C85" s="8">
        <v>40</v>
      </c>
      <c r="D85" s="2">
        <v>60</v>
      </c>
      <c r="E85" s="5">
        <f>0.5*40/45.5</f>
        <v>0.43956043956043955</v>
      </c>
      <c r="F85" s="5">
        <f>0.5*60/45.5</f>
        <v>0.6593406593406593</v>
      </c>
      <c r="G85" s="5"/>
      <c r="H85" s="5"/>
      <c r="I85" s="5">
        <f>2.3*40/45.5</f>
        <v>2.021978021978022</v>
      </c>
      <c r="J85" s="5">
        <f>2.3*60/45.5</f>
        <v>3.032967032967033</v>
      </c>
      <c r="K85" s="5">
        <f>56.96*40/45.5</f>
        <v>50.074725274725274</v>
      </c>
      <c r="L85" s="5">
        <f>56.96*60/45.5</f>
        <v>75.11208791208792</v>
      </c>
    </row>
    <row r="86" spans="1:12" ht="15.75">
      <c r="A86" s="1">
        <v>4</v>
      </c>
      <c r="B86" s="1" t="s">
        <v>129</v>
      </c>
      <c r="C86" s="2">
        <v>180</v>
      </c>
      <c r="D86" s="2">
        <v>200</v>
      </c>
      <c r="E86" s="5">
        <f>F86*$C$86/$D$86</f>
        <v>0.14400000000000002</v>
      </c>
      <c r="F86" s="5">
        <v>0.16</v>
      </c>
      <c r="G86" s="5"/>
      <c r="H86" s="5"/>
      <c r="I86" s="5">
        <f>J86*$C$86/$D$86</f>
        <v>13.491</v>
      </c>
      <c r="J86" s="5">
        <v>14.99</v>
      </c>
      <c r="K86" s="5">
        <f>L86*$C$86/$D$86</f>
        <v>54.576</v>
      </c>
      <c r="L86" s="5">
        <v>60.64</v>
      </c>
    </row>
    <row r="87" spans="1:12" ht="15.75">
      <c r="A87" s="1">
        <v>5</v>
      </c>
      <c r="B87" s="1" t="s">
        <v>33</v>
      </c>
      <c r="C87" s="2">
        <v>40</v>
      </c>
      <c r="D87" s="2">
        <v>60</v>
      </c>
      <c r="E87" s="5">
        <v>4.78</v>
      </c>
      <c r="F87" s="21">
        <f>E87*$C$64/$D$64</f>
        <v>4.3020000000000005</v>
      </c>
      <c r="G87" s="5">
        <v>1.96</v>
      </c>
      <c r="H87" s="21">
        <f>G87*$C$64/$D$64</f>
        <v>1.764</v>
      </c>
      <c r="I87" s="5">
        <v>35.86</v>
      </c>
      <c r="J87" s="21">
        <f>I87*$C$64/$D$64</f>
        <v>32.274</v>
      </c>
      <c r="K87" s="5">
        <f>L87*$C$228/$D$228</f>
        <v>104.26666666666667</v>
      </c>
      <c r="L87" s="21">
        <v>156.4</v>
      </c>
    </row>
    <row r="88" spans="1:12" ht="15.75" customHeight="1">
      <c r="A88" s="62" t="s">
        <v>9</v>
      </c>
      <c r="B88" s="63"/>
      <c r="C88" s="63"/>
      <c r="D88" s="64"/>
      <c r="E88" s="6">
        <f>SUM(E83:E87)</f>
        <v>42.16356043956044</v>
      </c>
      <c r="F88" s="6">
        <f aca="true" t="shared" si="12" ref="F88:L88">SUM(F83:F87)</f>
        <v>44.77134065934066</v>
      </c>
      <c r="G88" s="6">
        <f t="shared" si="12"/>
        <v>44.669999999999995</v>
      </c>
      <c r="H88" s="6">
        <f t="shared" si="12"/>
        <v>51.981500000000004</v>
      </c>
      <c r="I88" s="6">
        <f t="shared" si="12"/>
        <v>97.64297802197802</v>
      </c>
      <c r="J88" s="6">
        <f t="shared" si="12"/>
        <v>105.25946703296702</v>
      </c>
      <c r="K88" s="6">
        <f t="shared" si="12"/>
        <v>735.927391941392</v>
      </c>
      <c r="L88" s="6">
        <f t="shared" si="12"/>
        <v>948.6170879120879</v>
      </c>
    </row>
    <row r="89" spans="1:12" ht="15.75" customHeight="1">
      <c r="A89" s="68" t="s">
        <v>16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70"/>
    </row>
    <row r="90" spans="1:12" ht="18" customHeight="1">
      <c r="A90" s="1">
        <v>1</v>
      </c>
      <c r="B90" s="1" t="s">
        <v>130</v>
      </c>
      <c r="C90" s="2">
        <v>50</v>
      </c>
      <c r="D90" s="2">
        <v>70</v>
      </c>
      <c r="E90" s="5">
        <f>7.5*$C$90/100</f>
        <v>3.75</v>
      </c>
      <c r="F90" s="5">
        <f>7.5*$D$90/100</f>
        <v>5.25</v>
      </c>
      <c r="G90" s="5">
        <f>19.4*$C$90/100</f>
        <v>9.7</v>
      </c>
      <c r="H90" s="5">
        <f>19.4*$D$90/100</f>
        <v>13.58</v>
      </c>
      <c r="I90" s="5">
        <f>64.3*$C$90/100</f>
        <v>32.15</v>
      </c>
      <c r="J90" s="5">
        <f>64.3*$D$90/100</f>
        <v>45.01</v>
      </c>
      <c r="K90" s="5">
        <f>355.5*C90/100</f>
        <v>177.75</v>
      </c>
      <c r="L90" s="5">
        <f>355.5*D90/100</f>
        <v>248.85</v>
      </c>
    </row>
    <row r="91" spans="1:12" ht="15.75">
      <c r="A91" s="1">
        <v>2</v>
      </c>
      <c r="B91" s="37" t="s">
        <v>131</v>
      </c>
      <c r="C91" s="2">
        <v>180</v>
      </c>
      <c r="D91" s="2">
        <v>200</v>
      </c>
      <c r="E91" s="5">
        <f>2.5*$C$91/100</f>
        <v>4.5</v>
      </c>
      <c r="F91" s="5">
        <f>2.5*D91/100</f>
        <v>5</v>
      </c>
      <c r="G91" s="5">
        <f>3.28*$C$91/100</f>
        <v>5.904</v>
      </c>
      <c r="H91" s="5">
        <f>3.28*$D$91/100</f>
        <v>6.56</v>
      </c>
      <c r="I91" s="5">
        <f>4.39*180/100</f>
        <v>7.901999999999999</v>
      </c>
      <c r="J91" s="5">
        <f>4.39*200/100</f>
        <v>8.78</v>
      </c>
      <c r="K91" s="5">
        <f>53*180/100</f>
        <v>95.4</v>
      </c>
      <c r="L91" s="5">
        <f>53*200/100</f>
        <v>106</v>
      </c>
    </row>
    <row r="92" spans="1:12" ht="15.75" customHeight="1">
      <c r="A92" s="62" t="s">
        <v>9</v>
      </c>
      <c r="B92" s="63"/>
      <c r="C92" s="63"/>
      <c r="D92" s="64"/>
      <c r="E92" s="6">
        <f aca="true" t="shared" si="13" ref="E92:L92">SUM(E90:E91)</f>
        <v>8.25</v>
      </c>
      <c r="F92" s="6">
        <f t="shared" si="13"/>
        <v>10.25</v>
      </c>
      <c r="G92" s="6">
        <f t="shared" si="13"/>
        <v>15.604</v>
      </c>
      <c r="H92" s="6">
        <f t="shared" si="13"/>
        <v>20.14</v>
      </c>
      <c r="I92" s="6">
        <f t="shared" si="13"/>
        <v>40.052</v>
      </c>
      <c r="J92" s="6">
        <f t="shared" si="13"/>
        <v>53.79</v>
      </c>
      <c r="K92" s="6">
        <f t="shared" si="13"/>
        <v>273.15</v>
      </c>
      <c r="L92" s="6">
        <f t="shared" si="13"/>
        <v>354.85</v>
      </c>
    </row>
    <row r="93" spans="1:12" ht="15.75" customHeight="1">
      <c r="A93" s="71" t="s">
        <v>18</v>
      </c>
      <c r="B93" s="72"/>
      <c r="C93" s="72"/>
      <c r="D93" s="73"/>
      <c r="E93" s="9">
        <f aca="true" t="shared" si="14" ref="E93:L93">E78+E81+E88+E92</f>
        <v>65.62122710622711</v>
      </c>
      <c r="F93" s="9">
        <f t="shared" si="14"/>
        <v>78.92134065934066</v>
      </c>
      <c r="G93" s="9">
        <f t="shared" si="14"/>
        <v>86.645</v>
      </c>
      <c r="H93" s="9">
        <f t="shared" si="14"/>
        <v>106.0415</v>
      </c>
      <c r="I93" s="9">
        <f t="shared" si="14"/>
        <v>194.0906446886447</v>
      </c>
      <c r="J93" s="9">
        <f t="shared" si="14"/>
        <v>227.31946703296703</v>
      </c>
      <c r="K93" s="9">
        <f t="shared" si="14"/>
        <v>1520.6117252747254</v>
      </c>
      <c r="L93" s="9">
        <f t="shared" si="14"/>
        <v>1985.3870879120877</v>
      </c>
    </row>
    <row r="94" spans="1:12" ht="15.75" customHeight="1">
      <c r="A94" s="53" t="s">
        <v>61</v>
      </c>
      <c r="B94" s="54"/>
      <c r="C94" s="57" t="s">
        <v>1</v>
      </c>
      <c r="D94" s="58"/>
      <c r="E94" s="57" t="s">
        <v>2</v>
      </c>
      <c r="F94" s="58"/>
      <c r="G94" s="57" t="s">
        <v>3</v>
      </c>
      <c r="H94" s="58"/>
      <c r="I94" s="57" t="s">
        <v>4</v>
      </c>
      <c r="J94" s="58"/>
      <c r="K94" s="57" t="s">
        <v>5</v>
      </c>
      <c r="L94" s="58"/>
    </row>
    <row r="95" spans="1:12" ht="15.75">
      <c r="A95" s="55"/>
      <c r="B95" s="56"/>
      <c r="C95" s="24" t="s">
        <v>41</v>
      </c>
      <c r="D95" s="24" t="s">
        <v>42</v>
      </c>
      <c r="E95" s="24" t="s">
        <v>41</v>
      </c>
      <c r="F95" s="24" t="s">
        <v>42</v>
      </c>
      <c r="G95" s="24" t="s">
        <v>41</v>
      </c>
      <c r="H95" s="24" t="s">
        <v>42</v>
      </c>
      <c r="I95" s="24" t="s">
        <v>41</v>
      </c>
      <c r="J95" s="24" t="s">
        <v>42</v>
      </c>
      <c r="K95" s="24" t="s">
        <v>41</v>
      </c>
      <c r="L95" s="24" t="s">
        <v>42</v>
      </c>
    </row>
    <row r="96" spans="1:12" ht="15.75" customHeight="1">
      <c r="A96" s="59" t="s">
        <v>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</row>
    <row r="97" spans="1:12" ht="31.5">
      <c r="A97" s="1">
        <v>1</v>
      </c>
      <c r="B97" s="20" t="s">
        <v>132</v>
      </c>
      <c r="C97" s="15">
        <v>200</v>
      </c>
      <c r="D97" s="8">
        <v>250</v>
      </c>
      <c r="E97" s="10">
        <v>5.58</v>
      </c>
      <c r="F97" s="16">
        <v>6.98</v>
      </c>
      <c r="G97" s="10">
        <v>6.12</v>
      </c>
      <c r="H97" s="16">
        <v>7.65</v>
      </c>
      <c r="I97" s="10">
        <v>79.73</v>
      </c>
      <c r="J97" s="16">
        <v>24.66</v>
      </c>
      <c r="K97" s="10">
        <v>256.08</v>
      </c>
      <c r="L97" s="16">
        <f>295.1+20</f>
        <v>315.1</v>
      </c>
    </row>
    <row r="98" spans="1:12" ht="15.75">
      <c r="A98" s="1">
        <v>2</v>
      </c>
      <c r="B98" s="1" t="s">
        <v>57</v>
      </c>
      <c r="C98" s="2">
        <v>180</v>
      </c>
      <c r="D98" s="2">
        <v>200</v>
      </c>
      <c r="E98" s="5">
        <f>F98*C98/D98</f>
        <v>0.063</v>
      </c>
      <c r="F98" s="5">
        <v>0.07</v>
      </c>
      <c r="G98" s="5">
        <f>H98*C98/D98</f>
        <v>0.009000000000000001</v>
      </c>
      <c r="H98" s="5">
        <v>0.01</v>
      </c>
      <c r="I98" s="5">
        <f>J98*C98/D98</f>
        <v>13.779000000000002</v>
      </c>
      <c r="J98" s="5">
        <v>15.31</v>
      </c>
      <c r="K98" s="5">
        <f>L98*C98/D98</f>
        <v>55.458</v>
      </c>
      <c r="L98" s="5">
        <v>61.62</v>
      </c>
    </row>
    <row r="99" spans="1:12" ht="16.5" customHeight="1">
      <c r="A99" s="1">
        <v>3</v>
      </c>
      <c r="B99" s="1" t="s">
        <v>21</v>
      </c>
      <c r="C99" s="7" t="s">
        <v>50</v>
      </c>
      <c r="D99" s="2" t="s">
        <v>51</v>
      </c>
      <c r="E99" s="5">
        <f>F99*$C$53/$D$53</f>
        <v>1.944</v>
      </c>
      <c r="F99" s="5">
        <v>2.16</v>
      </c>
      <c r="G99" s="5">
        <f>H99*$C$53/$D$53</f>
        <v>6.822</v>
      </c>
      <c r="H99" s="5">
        <v>7.58</v>
      </c>
      <c r="I99" s="5">
        <f>J99*$C$53/$D$53</f>
        <v>14.390999999999998</v>
      </c>
      <c r="J99" s="5">
        <v>15.99</v>
      </c>
      <c r="K99" s="5">
        <f>L99*$C$53/$D$53</f>
        <v>144.576</v>
      </c>
      <c r="L99" s="5">
        <v>160.64</v>
      </c>
    </row>
    <row r="100" spans="1:12" ht="15.75" customHeight="1">
      <c r="A100" s="62" t="s">
        <v>9</v>
      </c>
      <c r="B100" s="63"/>
      <c r="C100" s="63"/>
      <c r="D100" s="64"/>
      <c r="E100" s="12">
        <f>SUM(E97:E99)</f>
        <v>7.587</v>
      </c>
      <c r="F100" s="12">
        <f aca="true" t="shared" si="15" ref="F100:L100">SUM(F97:F99)</f>
        <v>9.21</v>
      </c>
      <c r="G100" s="12">
        <f t="shared" si="15"/>
        <v>12.951</v>
      </c>
      <c r="H100" s="12">
        <f t="shared" si="15"/>
        <v>15.24</v>
      </c>
      <c r="I100" s="12">
        <f t="shared" si="15"/>
        <v>107.9</v>
      </c>
      <c r="J100" s="12">
        <f t="shared" si="15"/>
        <v>55.96</v>
      </c>
      <c r="K100" s="12">
        <f t="shared" si="15"/>
        <v>456.11400000000003</v>
      </c>
      <c r="L100" s="12">
        <f t="shared" si="15"/>
        <v>537.36</v>
      </c>
    </row>
    <row r="101" spans="1:12" ht="15.75" customHeight="1">
      <c r="A101" s="65" t="s">
        <v>10</v>
      </c>
      <c r="B101" s="66"/>
      <c r="C101" s="66"/>
      <c r="D101" s="66"/>
      <c r="E101" s="66"/>
      <c r="F101" s="66"/>
      <c r="G101" s="67"/>
      <c r="H101" s="22"/>
      <c r="I101" s="22"/>
      <c r="J101" s="22"/>
      <c r="K101" s="22"/>
      <c r="L101" s="22"/>
    </row>
    <row r="102" spans="1:12" ht="15.75">
      <c r="A102" s="1">
        <v>1</v>
      </c>
      <c r="B102" s="1" t="s">
        <v>112</v>
      </c>
      <c r="C102" s="2">
        <v>100</v>
      </c>
      <c r="D102" s="22">
        <v>150</v>
      </c>
      <c r="E102" s="5">
        <f>F102*$C$149/$D$149</f>
        <v>0.4266666666666667</v>
      </c>
      <c r="F102" s="5">
        <v>0.64</v>
      </c>
      <c r="G102" s="21"/>
      <c r="H102" s="21"/>
      <c r="I102" s="5">
        <f>J102*$C$149/$D$149</f>
        <v>10.08</v>
      </c>
      <c r="J102" s="5">
        <v>15.12</v>
      </c>
      <c r="K102" s="5">
        <f>L102*$C$149/$D$149</f>
        <v>43.13999999999999</v>
      </c>
      <c r="L102" s="5">
        <v>64.71</v>
      </c>
    </row>
    <row r="103" spans="1:12" ht="15.75" customHeight="1">
      <c r="A103" s="62" t="s">
        <v>9</v>
      </c>
      <c r="B103" s="63"/>
      <c r="C103" s="63"/>
      <c r="D103" s="64"/>
      <c r="E103" s="12">
        <f>SUM(E102)</f>
        <v>0.4266666666666667</v>
      </c>
      <c r="F103" s="12">
        <f aca="true" t="shared" si="16" ref="F103:L103">SUM(F102)</f>
        <v>0.64</v>
      </c>
      <c r="G103" s="12"/>
      <c r="H103" s="12"/>
      <c r="I103" s="12">
        <f t="shared" si="16"/>
        <v>10.08</v>
      </c>
      <c r="J103" s="12">
        <f t="shared" si="16"/>
        <v>15.12</v>
      </c>
      <c r="K103" s="12">
        <f t="shared" si="16"/>
        <v>43.13999999999999</v>
      </c>
      <c r="L103" s="12">
        <f t="shared" si="16"/>
        <v>64.71</v>
      </c>
    </row>
    <row r="104" spans="1:12" ht="15.75" customHeight="1">
      <c r="A104" s="59" t="s">
        <v>11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1"/>
    </row>
    <row r="105" spans="1:12" ht="15.75" customHeight="1">
      <c r="A105" s="11">
        <v>1</v>
      </c>
      <c r="B105" s="11" t="s">
        <v>133</v>
      </c>
      <c r="C105" s="8">
        <v>200</v>
      </c>
      <c r="D105" s="15">
        <v>250</v>
      </c>
      <c r="E105" s="10">
        <v>1.85</v>
      </c>
      <c r="F105" s="16">
        <v>2.31</v>
      </c>
      <c r="G105" s="10">
        <v>6.19</v>
      </c>
      <c r="H105" s="16">
        <v>7.74</v>
      </c>
      <c r="I105" s="10">
        <v>12.34</v>
      </c>
      <c r="J105" s="16">
        <v>15.43</v>
      </c>
      <c r="K105" s="10">
        <v>112.47</v>
      </c>
      <c r="L105" s="16">
        <v>170.59</v>
      </c>
    </row>
    <row r="106" spans="1:12" ht="15.75">
      <c r="A106" s="11">
        <v>2</v>
      </c>
      <c r="B106" s="11" t="s">
        <v>38</v>
      </c>
      <c r="C106" s="8">
        <v>190</v>
      </c>
      <c r="D106" s="15">
        <v>220</v>
      </c>
      <c r="E106" s="16">
        <v>21.16</v>
      </c>
      <c r="F106" s="10">
        <v>24.76</v>
      </c>
      <c r="G106" s="16">
        <v>34.25</v>
      </c>
      <c r="H106" s="10">
        <f>G106*D106/C106</f>
        <v>39.6578947368421</v>
      </c>
      <c r="I106" s="16">
        <v>24.65</v>
      </c>
      <c r="J106" s="10">
        <v>28.29</v>
      </c>
      <c r="K106" s="16">
        <v>392.02</v>
      </c>
      <c r="L106" s="10">
        <v>491.49</v>
      </c>
    </row>
    <row r="107" spans="1:12" ht="15.75">
      <c r="A107" s="11">
        <v>3</v>
      </c>
      <c r="B107" s="1" t="s">
        <v>103</v>
      </c>
      <c r="C107" s="8">
        <v>40</v>
      </c>
      <c r="D107" s="2">
        <v>60</v>
      </c>
      <c r="E107" s="5">
        <f>0.5*40/45.5</f>
        <v>0.43956043956043955</v>
      </c>
      <c r="F107" s="5">
        <f>0.5*60/45.5</f>
        <v>0.6593406593406593</v>
      </c>
      <c r="G107" s="5"/>
      <c r="H107" s="5"/>
      <c r="I107" s="5">
        <f>2.3*40/45.5</f>
        <v>2.021978021978022</v>
      </c>
      <c r="J107" s="5">
        <f>2.3*60/45.5</f>
        <v>3.032967032967033</v>
      </c>
      <c r="K107" s="5">
        <f>56.96*40/45.5</f>
        <v>50.074725274725274</v>
      </c>
      <c r="L107" s="5">
        <f>56.96*60/45.5</f>
        <v>75.11208791208792</v>
      </c>
    </row>
    <row r="108" spans="1:12" ht="15.75">
      <c r="A108" s="1">
        <v>4</v>
      </c>
      <c r="B108" s="1" t="s">
        <v>14</v>
      </c>
      <c r="C108" s="2">
        <v>180</v>
      </c>
      <c r="D108" s="2">
        <v>200</v>
      </c>
      <c r="E108" s="5">
        <f>180*0.54/200</f>
        <v>0.486</v>
      </c>
      <c r="F108" s="5">
        <v>0.54</v>
      </c>
      <c r="G108" s="5"/>
      <c r="H108" s="5"/>
      <c r="I108" s="5">
        <f>180*J108/200</f>
        <v>25.065</v>
      </c>
      <c r="J108" s="5">
        <v>27.85</v>
      </c>
      <c r="K108" s="5">
        <f>180*L108/200</f>
        <v>96.93</v>
      </c>
      <c r="L108" s="5">
        <v>107.7</v>
      </c>
    </row>
    <row r="109" spans="1:12" ht="15.75">
      <c r="A109" s="1">
        <v>5</v>
      </c>
      <c r="B109" s="1" t="s">
        <v>33</v>
      </c>
      <c r="C109" s="2">
        <v>40</v>
      </c>
      <c r="D109" s="2">
        <v>60</v>
      </c>
      <c r="E109" s="5">
        <v>4.78</v>
      </c>
      <c r="F109" s="21">
        <f>E109*$C$64/$D$64</f>
        <v>4.3020000000000005</v>
      </c>
      <c r="G109" s="5">
        <v>1.96</v>
      </c>
      <c r="H109" s="21">
        <f>G109*$C$64/$D$64</f>
        <v>1.764</v>
      </c>
      <c r="I109" s="5">
        <v>35.86</v>
      </c>
      <c r="J109" s="21">
        <f>I109*$C$64/$D$64</f>
        <v>32.274</v>
      </c>
      <c r="K109" s="5">
        <f>L109*$C$228/$D$228</f>
        <v>104.26666666666667</v>
      </c>
      <c r="L109" s="21">
        <v>156.4</v>
      </c>
    </row>
    <row r="110" spans="1:12" ht="15.75" customHeight="1">
      <c r="A110" s="62" t="s">
        <v>9</v>
      </c>
      <c r="B110" s="63"/>
      <c r="C110" s="63"/>
      <c r="D110" s="64"/>
      <c r="E110" s="6">
        <f aca="true" t="shared" si="17" ref="E110:L110">SUM(E105:E109)</f>
        <v>28.71556043956044</v>
      </c>
      <c r="F110" s="6">
        <f t="shared" si="17"/>
        <v>32.57134065934066</v>
      </c>
      <c r="G110" s="6">
        <f t="shared" si="17"/>
        <v>42.4</v>
      </c>
      <c r="H110" s="6">
        <f t="shared" si="17"/>
        <v>49.16189473684211</v>
      </c>
      <c r="I110" s="6">
        <f t="shared" si="17"/>
        <v>99.93697802197802</v>
      </c>
      <c r="J110" s="6">
        <f t="shared" si="17"/>
        <v>106.87696703296703</v>
      </c>
      <c r="K110" s="6">
        <f t="shared" si="17"/>
        <v>755.761391941392</v>
      </c>
      <c r="L110" s="6">
        <f t="shared" si="17"/>
        <v>1001.2920879120879</v>
      </c>
    </row>
    <row r="111" spans="1:12" ht="15.75" customHeight="1">
      <c r="A111" s="68" t="s">
        <v>16</v>
      </c>
      <c r="B111" s="69"/>
      <c r="C111" s="69"/>
      <c r="D111" s="69"/>
      <c r="E111" s="69"/>
      <c r="F111" s="69"/>
      <c r="G111" s="70"/>
      <c r="H111" s="22"/>
      <c r="I111" s="22"/>
      <c r="J111" s="22"/>
      <c r="K111" s="22"/>
      <c r="L111" s="22"/>
    </row>
    <row r="112" spans="1:12" ht="16.5" customHeight="1">
      <c r="A112" s="1">
        <v>1</v>
      </c>
      <c r="B112" s="1" t="s">
        <v>134</v>
      </c>
      <c r="C112" s="2">
        <v>185</v>
      </c>
      <c r="D112" s="2">
        <v>205</v>
      </c>
      <c r="E112" s="5">
        <f>F112*C112/D112</f>
        <v>3.3570731707317076</v>
      </c>
      <c r="F112" s="29">
        <v>3.72</v>
      </c>
      <c r="G112" s="29">
        <f>H112*C112/D112</f>
        <v>13.419268292682926</v>
      </c>
      <c r="H112" s="29">
        <v>14.87</v>
      </c>
      <c r="I112" s="21">
        <f>J112*C112/D112</f>
        <v>20.368048780487804</v>
      </c>
      <c r="J112" s="29">
        <v>22.57</v>
      </c>
      <c r="K112" s="21">
        <f>L112*C112/D112-28-15-0.27-0.63</f>
        <v>197.6739024390244</v>
      </c>
      <c r="L112" s="29">
        <f>238.99+28+0.7</f>
        <v>267.69</v>
      </c>
    </row>
    <row r="113" spans="1:12" ht="15.75">
      <c r="A113" s="1">
        <v>2</v>
      </c>
      <c r="B113" s="1" t="s">
        <v>79</v>
      </c>
      <c r="C113" s="2">
        <v>50</v>
      </c>
      <c r="D113" s="2">
        <v>60</v>
      </c>
      <c r="E113" s="5">
        <v>13</v>
      </c>
      <c r="F113" s="29">
        <v>15.6</v>
      </c>
      <c r="G113" s="29">
        <v>12</v>
      </c>
      <c r="H113" s="29">
        <v>14.4</v>
      </c>
      <c r="I113" s="21">
        <v>1</v>
      </c>
      <c r="J113" s="29">
        <v>1.2</v>
      </c>
      <c r="K113" s="21">
        <v>157</v>
      </c>
      <c r="L113" s="29">
        <v>188.4</v>
      </c>
    </row>
    <row r="114" spans="1:12" ht="15.75">
      <c r="A114" s="1">
        <v>3</v>
      </c>
      <c r="B114" s="1" t="s">
        <v>40</v>
      </c>
      <c r="C114" s="2">
        <v>180</v>
      </c>
      <c r="D114" s="2">
        <v>200</v>
      </c>
      <c r="E114" s="5">
        <f>F114*$C$91/$D$91</f>
        <v>2.511</v>
      </c>
      <c r="F114" s="5">
        <v>2.79</v>
      </c>
      <c r="G114" s="5">
        <f>H114*$C$91/$D$91</f>
        <v>2.8710000000000004</v>
      </c>
      <c r="H114" s="5">
        <v>3.19</v>
      </c>
      <c r="I114" s="5">
        <f>J114*$C$91/$D$91</f>
        <v>17.739</v>
      </c>
      <c r="J114" s="5">
        <v>19.71</v>
      </c>
      <c r="K114" s="5">
        <f>L114*$C$91/$D$91</f>
        <v>106.821</v>
      </c>
      <c r="L114" s="5">
        <v>118.69</v>
      </c>
    </row>
    <row r="115" spans="1:12" ht="15.75">
      <c r="A115" s="1">
        <v>4</v>
      </c>
      <c r="B115" s="1" t="s">
        <v>33</v>
      </c>
      <c r="C115" s="2">
        <v>40</v>
      </c>
      <c r="D115" s="2">
        <v>60</v>
      </c>
      <c r="E115" s="5">
        <v>4.78</v>
      </c>
      <c r="F115" s="21">
        <f>E115*$C$64/$D$64</f>
        <v>4.3020000000000005</v>
      </c>
      <c r="G115" s="5">
        <v>1.96</v>
      </c>
      <c r="H115" s="21">
        <f>G115*$C$64/$D$64</f>
        <v>1.764</v>
      </c>
      <c r="I115" s="5">
        <v>35.86</v>
      </c>
      <c r="J115" s="21">
        <f>I115*$C$64/$D$64</f>
        <v>32.274</v>
      </c>
      <c r="K115" s="5">
        <f>L115*$C$228/$D$228</f>
        <v>104.26666666666667</v>
      </c>
      <c r="L115" s="21">
        <v>156.4</v>
      </c>
    </row>
    <row r="116" spans="1:12" ht="15.75" customHeight="1">
      <c r="A116" s="62" t="s">
        <v>9</v>
      </c>
      <c r="B116" s="63"/>
      <c r="C116" s="63"/>
      <c r="D116" s="64"/>
      <c r="E116" s="6">
        <f>SUM(E112:E115)</f>
        <v>23.64807317073171</v>
      </c>
      <c r="F116" s="6">
        <f aca="true" t="shared" si="18" ref="F116:L116">SUM(F112:F115)</f>
        <v>26.412</v>
      </c>
      <c r="G116" s="6">
        <f t="shared" si="18"/>
        <v>30.250268292682925</v>
      </c>
      <c r="H116" s="6">
        <f t="shared" si="18"/>
        <v>34.224000000000004</v>
      </c>
      <c r="I116" s="6">
        <f t="shared" si="18"/>
        <v>74.9670487804878</v>
      </c>
      <c r="J116" s="6">
        <f t="shared" si="18"/>
        <v>75.754</v>
      </c>
      <c r="K116" s="6">
        <f t="shared" si="18"/>
        <v>565.761569105691</v>
      </c>
      <c r="L116" s="6">
        <f t="shared" si="18"/>
        <v>731.18</v>
      </c>
    </row>
    <row r="117" spans="1:15" ht="15.75" customHeight="1">
      <c r="A117" s="71" t="s">
        <v>18</v>
      </c>
      <c r="B117" s="72"/>
      <c r="C117" s="72"/>
      <c r="D117" s="73"/>
      <c r="E117" s="9">
        <f aca="true" t="shared" si="19" ref="E117:L117">E100+E103+E110+E116</f>
        <v>60.37730027695882</v>
      </c>
      <c r="F117" s="9">
        <f t="shared" si="19"/>
        <v>68.83334065934066</v>
      </c>
      <c r="G117" s="9">
        <f t="shared" si="19"/>
        <v>85.60126829268293</v>
      </c>
      <c r="H117" s="9">
        <f t="shared" si="19"/>
        <v>98.62589473684211</v>
      </c>
      <c r="I117" s="9">
        <f t="shared" si="19"/>
        <v>292.8840268024658</v>
      </c>
      <c r="J117" s="9">
        <f t="shared" si="19"/>
        <v>253.71096703296706</v>
      </c>
      <c r="K117" s="9">
        <f t="shared" si="19"/>
        <v>1820.776961047083</v>
      </c>
      <c r="L117" s="9">
        <f t="shared" si="19"/>
        <v>2334.542087912088</v>
      </c>
      <c r="N117" s="26"/>
      <c r="O117" s="26"/>
    </row>
    <row r="118" spans="1:15" ht="15.75" customHeight="1">
      <c r="A118" s="53" t="s">
        <v>65</v>
      </c>
      <c r="B118" s="54"/>
      <c r="C118" s="57" t="s">
        <v>1</v>
      </c>
      <c r="D118" s="58"/>
      <c r="E118" s="57" t="s">
        <v>2</v>
      </c>
      <c r="F118" s="58"/>
      <c r="G118" s="57" t="s">
        <v>3</v>
      </c>
      <c r="H118" s="58"/>
      <c r="I118" s="57" t="s">
        <v>4</v>
      </c>
      <c r="J118" s="58"/>
      <c r="K118" s="57" t="s">
        <v>5</v>
      </c>
      <c r="L118" s="58"/>
      <c r="N118" s="26"/>
      <c r="O118" s="26"/>
    </row>
    <row r="119" spans="1:12" ht="15.75" customHeight="1">
      <c r="A119" s="55"/>
      <c r="B119" s="56"/>
      <c r="C119" s="24" t="s">
        <v>41</v>
      </c>
      <c r="D119" s="24" t="s">
        <v>42</v>
      </c>
      <c r="E119" s="24" t="s">
        <v>41</v>
      </c>
      <c r="F119" s="24" t="s">
        <v>42</v>
      </c>
      <c r="G119" s="24" t="s">
        <v>41</v>
      </c>
      <c r="H119" s="24" t="s">
        <v>42</v>
      </c>
      <c r="I119" s="24" t="s">
        <v>41</v>
      </c>
      <c r="J119" s="24" t="s">
        <v>42</v>
      </c>
      <c r="K119" s="24" t="s">
        <v>41</v>
      </c>
      <c r="L119" s="24" t="s">
        <v>42</v>
      </c>
    </row>
    <row r="120" spans="1:12" ht="15.75" customHeight="1">
      <c r="A120" s="59" t="s">
        <v>6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1"/>
    </row>
    <row r="121" spans="1:12" ht="31.5">
      <c r="A121" s="1">
        <v>1</v>
      </c>
      <c r="B121" s="20" t="s">
        <v>135</v>
      </c>
      <c r="C121" s="13">
        <v>200</v>
      </c>
      <c r="D121" s="27">
        <v>250</v>
      </c>
      <c r="E121" s="16">
        <v>4.94</v>
      </c>
      <c r="F121" s="10">
        <f>E121*$D$121/$C$121</f>
        <v>6.175</v>
      </c>
      <c r="G121" s="16">
        <v>6.06</v>
      </c>
      <c r="H121" s="10">
        <f>G121*$D$121/$C$121</f>
        <v>7.575</v>
      </c>
      <c r="I121" s="16">
        <v>18.62</v>
      </c>
      <c r="J121" s="10">
        <f>I121*$D$121/$C$121</f>
        <v>23.275</v>
      </c>
      <c r="K121" s="16">
        <v>148.54</v>
      </c>
      <c r="L121" s="10">
        <f>K121*$D$121/$C$121+30</f>
        <v>215.675</v>
      </c>
    </row>
    <row r="122" spans="1:12" ht="15.75">
      <c r="A122" s="1">
        <v>2</v>
      </c>
      <c r="B122" s="1" t="s">
        <v>57</v>
      </c>
      <c r="C122" s="2">
        <v>180</v>
      </c>
      <c r="D122" s="2">
        <v>200</v>
      </c>
      <c r="E122" s="5">
        <f>F122*C122/D122</f>
        <v>0.063</v>
      </c>
      <c r="F122" s="5">
        <v>0.07</v>
      </c>
      <c r="G122" s="5">
        <f>H122*C122/D122</f>
        <v>0.009000000000000001</v>
      </c>
      <c r="H122" s="5">
        <v>0.01</v>
      </c>
      <c r="I122" s="5">
        <f>J122*C122/D122</f>
        <v>13.779000000000002</v>
      </c>
      <c r="J122" s="5">
        <v>15.31</v>
      </c>
      <c r="K122" s="5">
        <f>L122*C122/D122</f>
        <v>55.458</v>
      </c>
      <c r="L122" s="5">
        <v>61.62</v>
      </c>
    </row>
    <row r="123" spans="1:12" ht="15.75">
      <c r="A123" s="1">
        <v>3</v>
      </c>
      <c r="B123" s="1" t="s">
        <v>8</v>
      </c>
      <c r="C123" s="2" t="s">
        <v>44</v>
      </c>
      <c r="D123" s="2" t="s">
        <v>45</v>
      </c>
      <c r="E123" s="5">
        <v>6.1</v>
      </c>
      <c r="F123" s="5">
        <v>12.8</v>
      </c>
      <c r="G123" s="5">
        <v>14.6</v>
      </c>
      <c r="H123" s="5">
        <v>19.6</v>
      </c>
      <c r="I123" s="5">
        <v>6.7</v>
      </c>
      <c r="J123" s="5">
        <v>7</v>
      </c>
      <c r="K123" s="5">
        <v>164</v>
      </c>
      <c r="L123" s="5">
        <v>204</v>
      </c>
    </row>
    <row r="124" spans="1:12" ht="15.75" customHeight="1">
      <c r="A124" s="62" t="s">
        <v>9</v>
      </c>
      <c r="B124" s="63"/>
      <c r="C124" s="63"/>
      <c r="D124" s="64"/>
      <c r="E124" s="6">
        <f>SUM(E121:E123)</f>
        <v>11.103</v>
      </c>
      <c r="F124" s="6">
        <f aca="true" t="shared" si="20" ref="F124:L124">SUM(F121:F123)</f>
        <v>19.045</v>
      </c>
      <c r="G124" s="6">
        <f t="shared" si="20"/>
        <v>20.669</v>
      </c>
      <c r="H124" s="6">
        <f t="shared" si="20"/>
        <v>27.185000000000002</v>
      </c>
      <c r="I124" s="6">
        <f t="shared" si="20"/>
        <v>39.099000000000004</v>
      </c>
      <c r="J124" s="6">
        <f t="shared" si="20"/>
        <v>45.585</v>
      </c>
      <c r="K124" s="6">
        <f t="shared" si="20"/>
        <v>367.998</v>
      </c>
      <c r="L124" s="6">
        <f t="shared" si="20"/>
        <v>481.295</v>
      </c>
    </row>
    <row r="125" spans="1:12" ht="15.75" customHeight="1">
      <c r="A125" s="65" t="s">
        <v>10</v>
      </c>
      <c r="B125" s="66"/>
      <c r="C125" s="66"/>
      <c r="D125" s="66"/>
      <c r="E125" s="66"/>
      <c r="F125" s="66"/>
      <c r="G125" s="67"/>
      <c r="H125" s="22"/>
      <c r="I125" s="22"/>
      <c r="J125" s="22"/>
      <c r="K125" s="22"/>
      <c r="L125" s="22"/>
    </row>
    <row r="126" spans="1:12" ht="15.75">
      <c r="A126" s="1">
        <v>1</v>
      </c>
      <c r="B126" s="1" t="s">
        <v>120</v>
      </c>
      <c r="C126" s="2">
        <v>100</v>
      </c>
      <c r="D126" s="22">
        <v>150</v>
      </c>
      <c r="E126" s="5"/>
      <c r="F126" s="21"/>
      <c r="G126" s="21"/>
      <c r="H126" s="21"/>
      <c r="I126" s="5">
        <v>11</v>
      </c>
      <c r="J126" s="21">
        <f>I126*D126/C126</f>
        <v>16.5</v>
      </c>
      <c r="K126" s="5">
        <v>44</v>
      </c>
      <c r="L126" s="21">
        <f>K126*D126/C126</f>
        <v>66</v>
      </c>
    </row>
    <row r="127" spans="1:12" ht="15.75" customHeight="1">
      <c r="A127" s="62" t="s">
        <v>9</v>
      </c>
      <c r="B127" s="63"/>
      <c r="C127" s="63"/>
      <c r="D127" s="64"/>
      <c r="E127" s="3">
        <f aca="true" t="shared" si="21" ref="E127:L127">SUM(E126)</f>
        <v>0</v>
      </c>
      <c r="F127" s="3">
        <f t="shared" si="21"/>
        <v>0</v>
      </c>
      <c r="G127" s="3">
        <f t="shared" si="21"/>
        <v>0</v>
      </c>
      <c r="H127" s="3">
        <f t="shared" si="21"/>
        <v>0</v>
      </c>
      <c r="I127" s="3">
        <f t="shared" si="21"/>
        <v>11</v>
      </c>
      <c r="J127" s="3">
        <f t="shared" si="21"/>
        <v>16.5</v>
      </c>
      <c r="K127" s="3">
        <f t="shared" si="21"/>
        <v>44</v>
      </c>
      <c r="L127" s="6">
        <f t="shared" si="21"/>
        <v>66</v>
      </c>
    </row>
    <row r="128" spans="1:12" ht="15.75" customHeight="1">
      <c r="A128" s="59" t="s">
        <v>11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1"/>
    </row>
    <row r="129" spans="1:12" ht="31.5">
      <c r="A129" s="1">
        <v>1</v>
      </c>
      <c r="B129" s="20" t="s">
        <v>136</v>
      </c>
      <c r="C129" s="8">
        <v>200</v>
      </c>
      <c r="D129" s="15">
        <v>250</v>
      </c>
      <c r="E129" s="10">
        <v>1.54</v>
      </c>
      <c r="F129" s="16">
        <f>E129*$D$129/$C$129</f>
        <v>1.925</v>
      </c>
      <c r="G129" s="10">
        <v>5.07</v>
      </c>
      <c r="H129" s="16">
        <f>G129*$D$129/$C$129</f>
        <v>6.3375</v>
      </c>
      <c r="I129" s="10">
        <v>8.04</v>
      </c>
      <c r="J129" s="16">
        <f>I129*$D$129/$C$129</f>
        <v>10.049999999999999</v>
      </c>
      <c r="K129" s="10">
        <v>83.33</v>
      </c>
      <c r="L129" s="16">
        <f>K129*$D$129/$C$129</f>
        <v>104.1625</v>
      </c>
    </row>
    <row r="130" spans="1:12" ht="16.5" customHeight="1">
      <c r="A130" s="1">
        <v>2</v>
      </c>
      <c r="B130" s="20" t="s">
        <v>137</v>
      </c>
      <c r="C130" s="13">
        <v>50</v>
      </c>
      <c r="D130" s="27">
        <v>70</v>
      </c>
      <c r="E130" s="16">
        <f>9*50/100</f>
        <v>4.5</v>
      </c>
      <c r="F130" s="10">
        <v>9.33</v>
      </c>
      <c r="G130" s="16">
        <f>19*50/100</f>
        <v>9.5</v>
      </c>
      <c r="H130" s="10">
        <f>19*70/100</f>
        <v>13.3</v>
      </c>
      <c r="I130" s="16">
        <f>4.7*50/100</f>
        <v>2.35</v>
      </c>
      <c r="J130" s="10">
        <f>19*7/100</f>
        <v>1.33</v>
      </c>
      <c r="K130" s="16">
        <f>226*50/100</f>
        <v>113</v>
      </c>
      <c r="L130" s="10">
        <f>226*70/100</f>
        <v>158.2</v>
      </c>
    </row>
    <row r="131" spans="1:12" ht="15.75">
      <c r="A131" s="1">
        <v>3</v>
      </c>
      <c r="B131" s="1" t="s">
        <v>31</v>
      </c>
      <c r="C131" s="2">
        <v>150</v>
      </c>
      <c r="D131" s="2">
        <v>180</v>
      </c>
      <c r="E131" s="5">
        <f>2.13*C131/100</f>
        <v>3.195</v>
      </c>
      <c r="F131" s="5">
        <f>2.13*D131/100</f>
        <v>3.8339999999999996</v>
      </c>
      <c r="G131" s="5">
        <f>4.04*C131/100</f>
        <v>6.06</v>
      </c>
      <c r="H131" s="5">
        <f>4.04*D131/100</f>
        <v>7.272</v>
      </c>
      <c r="I131" s="5">
        <f>15.53*C131/100</f>
        <v>23.295</v>
      </c>
      <c r="J131" s="5">
        <f>15.53*D131/100</f>
        <v>27.954</v>
      </c>
      <c r="K131" s="5">
        <f>106.97*C131/100</f>
        <v>160.455</v>
      </c>
      <c r="L131" s="5">
        <f>106.97*D131/100</f>
        <v>192.546</v>
      </c>
    </row>
    <row r="132" spans="1:12" ht="15.75">
      <c r="A132" s="1">
        <v>4</v>
      </c>
      <c r="B132" s="1" t="s">
        <v>114</v>
      </c>
      <c r="C132" s="2">
        <v>40</v>
      </c>
      <c r="D132" s="2">
        <v>60</v>
      </c>
      <c r="E132" s="5">
        <f>0.36*40/45.5</f>
        <v>0.31648351648351647</v>
      </c>
      <c r="F132" s="5">
        <f>0.36*60/45.5</f>
        <v>0.4747252747252747</v>
      </c>
      <c r="G132" s="5"/>
      <c r="H132" s="5"/>
      <c r="I132" s="5">
        <v>1.5</v>
      </c>
      <c r="J132" s="5">
        <f>I132*60/40</f>
        <v>2.25</v>
      </c>
      <c r="K132" s="5">
        <f>51.8*40/45.5</f>
        <v>45.53846153846154</v>
      </c>
      <c r="L132" s="5">
        <f>51.8*60/45.5</f>
        <v>68.3076923076923</v>
      </c>
    </row>
    <row r="133" spans="1:12" ht="15.75">
      <c r="A133" s="1">
        <v>5</v>
      </c>
      <c r="B133" s="1" t="s">
        <v>115</v>
      </c>
      <c r="C133" s="2">
        <v>180</v>
      </c>
      <c r="D133" s="2">
        <v>200</v>
      </c>
      <c r="E133" s="5">
        <f>F133*C133/D133</f>
        <v>0.10799999999999998</v>
      </c>
      <c r="F133" s="5">
        <v>0.12</v>
      </c>
      <c r="G133" s="5"/>
      <c r="H133" s="5"/>
      <c r="I133" s="5">
        <f>J133*C133/D133</f>
        <v>19.034999999999997</v>
      </c>
      <c r="J133" s="5">
        <v>21.15</v>
      </c>
      <c r="K133" s="5">
        <f>L133*E133/F133</f>
        <v>76.56299999999999</v>
      </c>
      <c r="L133" s="5">
        <v>85.07</v>
      </c>
    </row>
    <row r="134" spans="1:12" ht="15.75">
      <c r="A134" s="1">
        <v>6</v>
      </c>
      <c r="B134" s="1" t="s">
        <v>33</v>
      </c>
      <c r="C134" s="2">
        <v>40</v>
      </c>
      <c r="D134" s="2">
        <v>60</v>
      </c>
      <c r="E134" s="5">
        <v>4.78</v>
      </c>
      <c r="F134" s="21">
        <f>E134*$C$64/$D$64</f>
        <v>4.3020000000000005</v>
      </c>
      <c r="G134" s="5">
        <v>1.96</v>
      </c>
      <c r="H134" s="21">
        <f>G134*$C$64/$D$64</f>
        <v>1.764</v>
      </c>
      <c r="I134" s="5">
        <v>35.86</v>
      </c>
      <c r="J134" s="21">
        <f>I134*$C$64/$D$64</f>
        <v>32.274</v>
      </c>
      <c r="K134" s="5">
        <f>L134*$C$228/$D$228</f>
        <v>104.26666666666667</v>
      </c>
      <c r="L134" s="21">
        <v>156.4</v>
      </c>
    </row>
    <row r="135" spans="1:12" ht="15.75" customHeight="1">
      <c r="A135" s="62" t="s">
        <v>9</v>
      </c>
      <c r="B135" s="63"/>
      <c r="C135" s="63"/>
      <c r="D135" s="64"/>
      <c r="E135" s="6">
        <f aca="true" t="shared" si="22" ref="E135:L135">SUM(E129:E134)</f>
        <v>14.439483516483516</v>
      </c>
      <c r="F135" s="6">
        <f t="shared" si="22"/>
        <v>19.985725274725276</v>
      </c>
      <c r="G135" s="6">
        <f t="shared" si="22"/>
        <v>22.59</v>
      </c>
      <c r="H135" s="12">
        <f t="shared" si="22"/>
        <v>28.6735</v>
      </c>
      <c r="I135" s="12">
        <f t="shared" si="22"/>
        <v>90.08</v>
      </c>
      <c r="J135" s="12">
        <f t="shared" si="22"/>
        <v>95.00800000000001</v>
      </c>
      <c r="K135" s="12">
        <f t="shared" si="22"/>
        <v>583.1531282051282</v>
      </c>
      <c r="L135" s="12">
        <f t="shared" si="22"/>
        <v>764.6861923076923</v>
      </c>
    </row>
    <row r="136" spans="1:12" ht="15.75" customHeight="1">
      <c r="A136" s="59" t="s">
        <v>16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1"/>
    </row>
    <row r="137" spans="1:12" ht="17.25" customHeight="1">
      <c r="A137" s="1">
        <v>1</v>
      </c>
      <c r="B137" s="1" t="s">
        <v>138</v>
      </c>
      <c r="C137" s="2">
        <v>120</v>
      </c>
      <c r="D137" s="2">
        <v>150</v>
      </c>
      <c r="E137" s="5">
        <f>9.35*120/165</f>
        <v>6.8</v>
      </c>
      <c r="F137" s="5">
        <f>9.35*150/165</f>
        <v>8.5</v>
      </c>
      <c r="G137" s="5">
        <f>8.63*120/165</f>
        <v>6.276363636363637</v>
      </c>
      <c r="H137" s="29">
        <f>8.63*150/165</f>
        <v>7.845454545454547</v>
      </c>
      <c r="I137" s="29">
        <f>81.39*120/165</f>
        <v>59.19272727272727</v>
      </c>
      <c r="J137" s="29">
        <f>81.39*150/165</f>
        <v>73.99090909090908</v>
      </c>
      <c r="K137" s="29">
        <f>440.63*120/165</f>
        <v>320.4581818181818</v>
      </c>
      <c r="L137" s="29">
        <f>440.63*150/165</f>
        <v>400.57272727272726</v>
      </c>
    </row>
    <row r="138" spans="1:12" ht="31.5">
      <c r="A138" s="1">
        <v>2</v>
      </c>
      <c r="B138" s="20" t="s">
        <v>17</v>
      </c>
      <c r="C138" s="8">
        <v>180</v>
      </c>
      <c r="D138" s="8">
        <v>200</v>
      </c>
      <c r="E138" s="10">
        <f>F138*C138/D138</f>
        <v>2.511</v>
      </c>
      <c r="F138" s="10">
        <v>2.79</v>
      </c>
      <c r="G138" s="10">
        <f>H138*E138/F138</f>
        <v>2.871</v>
      </c>
      <c r="H138" s="10">
        <v>3.19</v>
      </c>
      <c r="I138" s="10">
        <f>J138*G138/H138</f>
        <v>17.739</v>
      </c>
      <c r="J138" s="10">
        <v>19.71</v>
      </c>
      <c r="K138" s="10">
        <f>L138*I138/J138</f>
        <v>106.821</v>
      </c>
      <c r="L138" s="10">
        <v>118.69</v>
      </c>
    </row>
    <row r="139" spans="1:12" ht="15.75" customHeight="1">
      <c r="A139" s="62" t="s">
        <v>9</v>
      </c>
      <c r="B139" s="63"/>
      <c r="C139" s="63"/>
      <c r="D139" s="64"/>
      <c r="E139" s="6">
        <f aca="true" t="shared" si="23" ref="E139:L139">SUM(E137:E138)</f>
        <v>9.311</v>
      </c>
      <c r="F139" s="6">
        <f t="shared" si="23"/>
        <v>11.29</v>
      </c>
      <c r="G139" s="6">
        <f t="shared" si="23"/>
        <v>9.147363636363638</v>
      </c>
      <c r="H139" s="6">
        <f t="shared" si="23"/>
        <v>11.035454545454547</v>
      </c>
      <c r="I139" s="6">
        <f t="shared" si="23"/>
        <v>76.93172727272727</v>
      </c>
      <c r="J139" s="6">
        <f t="shared" si="23"/>
        <v>93.70090909090908</v>
      </c>
      <c r="K139" s="6">
        <f t="shared" si="23"/>
        <v>427.27918181818177</v>
      </c>
      <c r="L139" s="6">
        <f t="shared" si="23"/>
        <v>519.2627272727273</v>
      </c>
    </row>
    <row r="140" spans="1:12" ht="15.75" customHeight="1">
      <c r="A140" s="71" t="s">
        <v>18</v>
      </c>
      <c r="B140" s="72"/>
      <c r="C140" s="72"/>
      <c r="D140" s="73"/>
      <c r="E140" s="9">
        <f aca="true" t="shared" si="24" ref="E140:L140">E124+E127+E135+E139</f>
        <v>34.853483516483514</v>
      </c>
      <c r="F140" s="9">
        <f t="shared" si="24"/>
        <v>50.32072527472528</v>
      </c>
      <c r="G140" s="9">
        <f t="shared" si="24"/>
        <v>52.406363636363636</v>
      </c>
      <c r="H140" s="9">
        <f t="shared" si="24"/>
        <v>66.89395454545455</v>
      </c>
      <c r="I140" s="9">
        <f t="shared" si="24"/>
        <v>217.11072727272727</v>
      </c>
      <c r="J140" s="9">
        <f t="shared" si="24"/>
        <v>250.7939090909091</v>
      </c>
      <c r="K140" s="9">
        <f t="shared" si="24"/>
        <v>1422.4303100233099</v>
      </c>
      <c r="L140" s="9">
        <f t="shared" si="24"/>
        <v>1831.2439195804195</v>
      </c>
    </row>
    <row r="141" spans="1:12" ht="15.75" customHeight="1">
      <c r="A141" s="53" t="s">
        <v>69</v>
      </c>
      <c r="B141" s="54"/>
      <c r="C141" s="57" t="s">
        <v>1</v>
      </c>
      <c r="D141" s="58"/>
      <c r="E141" s="57" t="s">
        <v>2</v>
      </c>
      <c r="F141" s="58"/>
      <c r="G141" s="57" t="s">
        <v>3</v>
      </c>
      <c r="H141" s="58"/>
      <c r="I141" s="57" t="s">
        <v>4</v>
      </c>
      <c r="J141" s="58"/>
      <c r="K141" s="57" t="s">
        <v>5</v>
      </c>
      <c r="L141" s="58"/>
    </row>
    <row r="142" spans="1:12" ht="15.75" customHeight="1">
      <c r="A142" s="55"/>
      <c r="B142" s="56"/>
      <c r="C142" s="24" t="s">
        <v>41</v>
      </c>
      <c r="D142" s="24" t="s">
        <v>42</v>
      </c>
      <c r="E142" s="24" t="s">
        <v>41</v>
      </c>
      <c r="F142" s="24" t="s">
        <v>42</v>
      </c>
      <c r="G142" s="24" t="s">
        <v>41</v>
      </c>
      <c r="H142" s="24" t="s">
        <v>42</v>
      </c>
      <c r="I142" s="24" t="s">
        <v>41</v>
      </c>
      <c r="J142" s="24" t="s">
        <v>42</v>
      </c>
      <c r="K142" s="24" t="s">
        <v>41</v>
      </c>
      <c r="L142" s="24" t="s">
        <v>42</v>
      </c>
    </row>
    <row r="143" spans="1:12" ht="15.75" customHeight="1">
      <c r="A143" s="59" t="s">
        <v>6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1"/>
    </row>
    <row r="144" spans="1:12" ht="31.5">
      <c r="A144" s="1">
        <v>1</v>
      </c>
      <c r="B144" s="20" t="s">
        <v>139</v>
      </c>
      <c r="C144" s="8">
        <v>200</v>
      </c>
      <c r="D144" s="8">
        <v>250</v>
      </c>
      <c r="E144" s="10">
        <v>5.12</v>
      </c>
      <c r="F144" s="10">
        <f>E144*$D$144/$C$144</f>
        <v>6.4</v>
      </c>
      <c r="G144" s="10">
        <v>6.62</v>
      </c>
      <c r="H144" s="10">
        <f>G144*$D$144/$C$144</f>
        <v>8.275</v>
      </c>
      <c r="I144" s="36">
        <v>32.61</v>
      </c>
      <c r="J144" s="10">
        <f>I144*$D$144/$C$144</f>
        <v>40.7625</v>
      </c>
      <c r="K144" s="10">
        <f>190.13+62.71-18</f>
        <v>234.84</v>
      </c>
      <c r="L144" s="10">
        <f>K144*$D$144/$C$144</f>
        <v>293.55</v>
      </c>
    </row>
    <row r="145" spans="1:12" ht="31.5">
      <c r="A145" s="1">
        <v>2</v>
      </c>
      <c r="B145" s="20" t="s">
        <v>17</v>
      </c>
      <c r="C145" s="8">
        <v>180</v>
      </c>
      <c r="D145" s="8">
        <v>200</v>
      </c>
      <c r="E145" s="10">
        <f>F145*C145/D145</f>
        <v>2.511</v>
      </c>
      <c r="F145" s="10">
        <v>2.79</v>
      </c>
      <c r="G145" s="10">
        <f>H145*E145/F145</f>
        <v>2.871</v>
      </c>
      <c r="H145" s="10">
        <v>3.19</v>
      </c>
      <c r="I145" s="10">
        <f>J145*G145/H145</f>
        <v>17.739</v>
      </c>
      <c r="J145" s="10">
        <v>19.71</v>
      </c>
      <c r="K145" s="10">
        <f>L145*I145/J145</f>
        <v>106.821</v>
      </c>
      <c r="L145" s="10">
        <v>118.69</v>
      </c>
    </row>
    <row r="146" spans="1:12" ht="18" customHeight="1">
      <c r="A146" s="1">
        <v>3</v>
      </c>
      <c r="B146" s="1" t="s">
        <v>8</v>
      </c>
      <c r="C146" s="2" t="s">
        <v>44</v>
      </c>
      <c r="D146" s="2" t="s">
        <v>45</v>
      </c>
      <c r="E146" s="5">
        <v>6.1</v>
      </c>
      <c r="F146" s="5">
        <v>12.8</v>
      </c>
      <c r="G146" s="5">
        <v>14.6</v>
      </c>
      <c r="H146" s="5">
        <v>19.6</v>
      </c>
      <c r="I146" s="5">
        <v>6.7</v>
      </c>
      <c r="J146" s="5">
        <v>7</v>
      </c>
      <c r="K146" s="5">
        <v>164</v>
      </c>
      <c r="L146" s="5">
        <v>204</v>
      </c>
    </row>
    <row r="147" spans="1:12" ht="15.75" customHeight="1">
      <c r="A147" s="62" t="s">
        <v>9</v>
      </c>
      <c r="B147" s="63"/>
      <c r="C147" s="63"/>
      <c r="D147" s="64"/>
      <c r="E147" s="6">
        <f>SUM(E144:E146)</f>
        <v>13.731</v>
      </c>
      <c r="F147" s="6">
        <f aca="true" t="shared" si="25" ref="F147:L147">SUM(F144:F146)</f>
        <v>21.990000000000002</v>
      </c>
      <c r="G147" s="6">
        <f t="shared" si="25"/>
        <v>24.091</v>
      </c>
      <c r="H147" s="6">
        <f t="shared" si="25"/>
        <v>31.065</v>
      </c>
      <c r="I147" s="6">
        <f t="shared" si="25"/>
        <v>57.04900000000001</v>
      </c>
      <c r="J147" s="6">
        <f t="shared" si="25"/>
        <v>67.4725</v>
      </c>
      <c r="K147" s="6">
        <f t="shared" si="25"/>
        <v>505.661</v>
      </c>
      <c r="L147" s="6">
        <f t="shared" si="25"/>
        <v>616.24</v>
      </c>
    </row>
    <row r="148" spans="1:12" ht="15.75" customHeight="1">
      <c r="A148" s="59" t="s">
        <v>10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1"/>
    </row>
    <row r="149" spans="1:12" ht="15.75">
      <c r="A149" s="1">
        <v>1</v>
      </c>
      <c r="B149" s="1" t="s">
        <v>140</v>
      </c>
      <c r="C149" s="2">
        <v>100</v>
      </c>
      <c r="D149" s="2">
        <v>150</v>
      </c>
      <c r="E149" s="5">
        <f>0.4*100/150</f>
        <v>0.26666666666666666</v>
      </c>
      <c r="F149" s="5">
        <f>0.4*150/150</f>
        <v>0.4</v>
      </c>
      <c r="G149" s="5"/>
      <c r="H149" s="5"/>
      <c r="I149" s="5">
        <f>9.7*100/150</f>
        <v>6.466666666666666</v>
      </c>
      <c r="J149" s="5">
        <f>9.7*150/150</f>
        <v>9.7</v>
      </c>
      <c r="K149" s="5">
        <f>50*100/150</f>
        <v>33.333333333333336</v>
      </c>
      <c r="L149" s="5">
        <f>50*150/150</f>
        <v>50</v>
      </c>
    </row>
    <row r="150" spans="1:12" ht="15.75" customHeight="1">
      <c r="A150" s="62" t="s">
        <v>9</v>
      </c>
      <c r="B150" s="63"/>
      <c r="C150" s="63"/>
      <c r="D150" s="64"/>
      <c r="E150" s="6">
        <f>SUM(E149)</f>
        <v>0.26666666666666666</v>
      </c>
      <c r="F150" s="6">
        <f aca="true" t="shared" si="26" ref="F150:L150">SUM(F149)</f>
        <v>0.4</v>
      </c>
      <c r="G150" s="6"/>
      <c r="H150" s="6"/>
      <c r="I150" s="6">
        <f t="shared" si="26"/>
        <v>6.466666666666666</v>
      </c>
      <c r="J150" s="6">
        <f t="shared" si="26"/>
        <v>9.7</v>
      </c>
      <c r="K150" s="6">
        <f t="shared" si="26"/>
        <v>33.333333333333336</v>
      </c>
      <c r="L150" s="6">
        <f t="shared" si="26"/>
        <v>50</v>
      </c>
    </row>
    <row r="151" spans="1:12" ht="15.75" customHeight="1">
      <c r="A151" s="59" t="s">
        <v>11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1"/>
    </row>
    <row r="152" spans="1:12" ht="17.25" customHeight="1">
      <c r="A152" s="1">
        <v>1</v>
      </c>
      <c r="B152" s="20" t="s">
        <v>141</v>
      </c>
      <c r="C152" s="8">
        <v>200</v>
      </c>
      <c r="D152" s="15">
        <v>250</v>
      </c>
      <c r="E152" s="10">
        <v>10.09</v>
      </c>
      <c r="F152" s="16">
        <f>E152*$D$152/$C$152</f>
        <v>12.6125</v>
      </c>
      <c r="G152" s="10">
        <v>2.48</v>
      </c>
      <c r="H152" s="16">
        <f>G152*$D$152/$C$152</f>
        <v>3.1</v>
      </c>
      <c r="I152" s="10">
        <v>18</v>
      </c>
      <c r="J152" s="16">
        <f>I152*$D$152/$C$152</f>
        <v>22.5</v>
      </c>
      <c r="K152" s="10">
        <v>147.2</v>
      </c>
      <c r="L152" s="16">
        <f>K152*$D$152/$C$152</f>
        <v>184</v>
      </c>
    </row>
    <row r="153" spans="1:12" ht="15.75">
      <c r="A153" s="1">
        <v>2</v>
      </c>
      <c r="B153" s="1" t="s">
        <v>94</v>
      </c>
      <c r="C153" s="8">
        <v>60</v>
      </c>
      <c r="D153" s="15">
        <v>70</v>
      </c>
      <c r="E153" s="16">
        <v>18.56</v>
      </c>
      <c r="F153" s="10">
        <v>21.68</v>
      </c>
      <c r="G153" s="16">
        <v>20.72</v>
      </c>
      <c r="H153" s="10">
        <v>24.71</v>
      </c>
      <c r="I153" s="16">
        <v>5.77</v>
      </c>
      <c r="J153" s="10">
        <v>6.74</v>
      </c>
      <c r="K153" s="16">
        <v>283.79</v>
      </c>
      <c r="L153" s="10">
        <v>331.53</v>
      </c>
    </row>
    <row r="154" spans="1:12" ht="15.75">
      <c r="A154" s="1">
        <v>3</v>
      </c>
      <c r="B154" s="11" t="s">
        <v>134</v>
      </c>
      <c r="C154" s="8">
        <v>150</v>
      </c>
      <c r="D154" s="15">
        <v>180</v>
      </c>
      <c r="E154" s="10">
        <f>4.84*C154/205</f>
        <v>3.5414634146341464</v>
      </c>
      <c r="F154" s="10">
        <f>4.84*D154/205</f>
        <v>4.249756097560975</v>
      </c>
      <c r="G154" s="10">
        <f>11.35*$C$154/205</f>
        <v>8.304878048780488</v>
      </c>
      <c r="H154" s="10">
        <f>11.35*$D$154/205</f>
        <v>9.965853658536586</v>
      </c>
      <c r="I154" s="10">
        <f>29.59*$C$154/205</f>
        <v>21.651219512195123</v>
      </c>
      <c r="J154" s="10">
        <f>29.59*$D$154/205</f>
        <v>25.981463414634145</v>
      </c>
      <c r="K154" s="10">
        <f>239.59*$C$154/205</f>
        <v>175.30975609756098</v>
      </c>
      <c r="L154" s="10">
        <f>239.59*$D$154/205</f>
        <v>210.37170731707315</v>
      </c>
    </row>
    <row r="155" spans="1:12" ht="15.75">
      <c r="A155" s="1">
        <v>4</v>
      </c>
      <c r="B155" s="1" t="s">
        <v>14</v>
      </c>
      <c r="C155" s="2">
        <v>180</v>
      </c>
      <c r="D155" s="2">
        <v>200</v>
      </c>
      <c r="E155" s="5">
        <f>180*0.54/200</f>
        <v>0.486</v>
      </c>
      <c r="F155" s="5">
        <v>0.54</v>
      </c>
      <c r="G155" s="5"/>
      <c r="H155" s="5"/>
      <c r="I155" s="5">
        <f>180*J155/200</f>
        <v>25.065</v>
      </c>
      <c r="J155" s="5">
        <v>27.85</v>
      </c>
      <c r="K155" s="5">
        <f>180*L155/200</f>
        <v>96.93</v>
      </c>
      <c r="L155" s="5">
        <v>107.7</v>
      </c>
    </row>
    <row r="156" spans="1:12" ht="15.75">
      <c r="A156" s="1">
        <v>5</v>
      </c>
      <c r="B156" s="1" t="s">
        <v>15</v>
      </c>
      <c r="C156" s="2">
        <v>40</v>
      </c>
      <c r="D156" s="2">
        <v>50</v>
      </c>
      <c r="E156" s="5">
        <f>C156*2.81/60</f>
        <v>1.8733333333333335</v>
      </c>
      <c r="F156" s="5">
        <f>D156*2.81/60</f>
        <v>2.341666666666667</v>
      </c>
      <c r="G156" s="5">
        <f>C156*0.44/60</f>
        <v>0.29333333333333333</v>
      </c>
      <c r="H156" s="5">
        <f>D156*0.44/60</f>
        <v>0.36666666666666664</v>
      </c>
      <c r="I156" s="5">
        <f>C156*23.52/60</f>
        <v>15.68</v>
      </c>
      <c r="J156" s="5">
        <f>D156*23.52/60</f>
        <v>19.6</v>
      </c>
      <c r="K156" s="5">
        <f>C156*111.56/60</f>
        <v>74.37333333333332</v>
      </c>
      <c r="L156" s="5">
        <f>D156*111.56/60</f>
        <v>92.96666666666667</v>
      </c>
    </row>
    <row r="157" spans="1:12" ht="15.75" customHeight="1">
      <c r="A157" s="62" t="s">
        <v>9</v>
      </c>
      <c r="B157" s="63"/>
      <c r="C157" s="63"/>
      <c r="D157" s="64"/>
      <c r="E157" s="6">
        <f>SUM(E152:E156)</f>
        <v>34.550796747967475</v>
      </c>
      <c r="F157" s="6">
        <f>SUM(F152:F156)</f>
        <v>41.42392276422765</v>
      </c>
      <c r="G157" s="6">
        <f aca="true" t="shared" si="27" ref="G157:L157">SUM(G152:G156)</f>
        <v>31.79821138211382</v>
      </c>
      <c r="H157" s="6">
        <f t="shared" si="27"/>
        <v>38.14252032520326</v>
      </c>
      <c r="I157" s="6">
        <f t="shared" si="27"/>
        <v>86.16621951219511</v>
      </c>
      <c r="J157" s="6">
        <f t="shared" si="27"/>
        <v>102.67146341463413</v>
      </c>
      <c r="K157" s="6">
        <f t="shared" si="27"/>
        <v>777.6030894308943</v>
      </c>
      <c r="L157" s="6">
        <f t="shared" si="27"/>
        <v>926.5683739837399</v>
      </c>
    </row>
    <row r="158" spans="1:12" ht="15.75" customHeight="1">
      <c r="A158" s="59" t="s">
        <v>16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1"/>
    </row>
    <row r="159" spans="1:12" ht="18" customHeight="1">
      <c r="A159" s="1">
        <v>1</v>
      </c>
      <c r="B159" s="20" t="s">
        <v>39</v>
      </c>
      <c r="C159" s="8">
        <v>180</v>
      </c>
      <c r="D159" s="15">
        <v>200</v>
      </c>
      <c r="E159" s="16">
        <f>32.49*$C$159/200</f>
        <v>29.241000000000003</v>
      </c>
      <c r="F159" s="16">
        <f>32.49*$D$159/200</f>
        <v>32.49</v>
      </c>
      <c r="G159" s="16">
        <f>9.82*$C$159/200</f>
        <v>8.838000000000001</v>
      </c>
      <c r="H159" s="16">
        <f>9.82*$D$159/200</f>
        <v>9.82</v>
      </c>
      <c r="I159" s="16">
        <f>33.22*$C$159/200</f>
        <v>29.897999999999996</v>
      </c>
      <c r="J159" s="16">
        <f>33.22*$D$159/200</f>
        <v>33.22</v>
      </c>
      <c r="K159" s="16">
        <f>401.22*$C$159/200</f>
        <v>361.098</v>
      </c>
      <c r="L159" s="16">
        <f>401.22*$D$159/200</f>
        <v>401.22</v>
      </c>
    </row>
    <row r="160" spans="1:12" ht="31.5">
      <c r="A160" s="1">
        <v>2</v>
      </c>
      <c r="B160" s="20" t="s">
        <v>142</v>
      </c>
      <c r="C160" s="8">
        <v>180</v>
      </c>
      <c r="D160" s="8">
        <v>200</v>
      </c>
      <c r="E160" s="10">
        <f>3.77*180/200</f>
        <v>3.3930000000000002</v>
      </c>
      <c r="F160" s="16">
        <f>3.77*$D$159/200</f>
        <v>3.77</v>
      </c>
      <c r="G160" s="10">
        <f>3.93*180/200</f>
        <v>3.537</v>
      </c>
      <c r="H160" s="16">
        <f>3.93*$D$159/200</f>
        <v>3.93</v>
      </c>
      <c r="I160" s="10">
        <f>25.95*180/200</f>
        <v>23.355</v>
      </c>
      <c r="J160" s="16">
        <f>25.95*$D$159/200</f>
        <v>25.95</v>
      </c>
      <c r="K160" s="10">
        <f>153.92*180/200</f>
        <v>138.528</v>
      </c>
      <c r="L160" s="16">
        <f>153.92*$D$159/200</f>
        <v>153.92</v>
      </c>
    </row>
    <row r="161" spans="1:12" ht="15.75" customHeight="1">
      <c r="A161" s="62" t="s">
        <v>9</v>
      </c>
      <c r="B161" s="63"/>
      <c r="C161" s="63"/>
      <c r="D161" s="64"/>
      <c r="E161" s="6">
        <f>SUM(E159:E160)</f>
        <v>32.634</v>
      </c>
      <c r="F161" s="6">
        <f aca="true" t="shared" si="28" ref="F161:L161">SUM(F159:F160)</f>
        <v>36.260000000000005</v>
      </c>
      <c r="G161" s="6">
        <f t="shared" si="28"/>
        <v>12.375</v>
      </c>
      <c r="H161" s="6">
        <f t="shared" si="28"/>
        <v>13.75</v>
      </c>
      <c r="I161" s="6">
        <f t="shared" si="28"/>
        <v>53.253</v>
      </c>
      <c r="J161" s="6">
        <f t="shared" si="28"/>
        <v>59.17</v>
      </c>
      <c r="K161" s="6">
        <f t="shared" si="28"/>
        <v>499.626</v>
      </c>
      <c r="L161" s="6">
        <f t="shared" si="28"/>
        <v>555.14</v>
      </c>
    </row>
    <row r="162" spans="1:12" ht="15.75" customHeight="1">
      <c r="A162" s="71" t="s">
        <v>18</v>
      </c>
      <c r="B162" s="72"/>
      <c r="C162" s="72"/>
      <c r="D162" s="73"/>
      <c r="E162" s="9">
        <f aca="true" t="shared" si="29" ref="E162:L162">E147+E150+E157+E161</f>
        <v>81.18246341463414</v>
      </c>
      <c r="F162" s="9">
        <f t="shared" si="29"/>
        <v>100.07392276422766</v>
      </c>
      <c r="G162" s="9">
        <f t="shared" si="29"/>
        <v>68.26421138211381</v>
      </c>
      <c r="H162" s="9">
        <f t="shared" si="29"/>
        <v>82.95752032520326</v>
      </c>
      <c r="I162" s="9">
        <f t="shared" si="29"/>
        <v>202.9348861788618</v>
      </c>
      <c r="J162" s="9">
        <f t="shared" si="29"/>
        <v>239.01396341463413</v>
      </c>
      <c r="K162" s="9">
        <f t="shared" si="29"/>
        <v>1816.2234227642277</v>
      </c>
      <c r="L162" s="9">
        <f t="shared" si="29"/>
        <v>2147.9483739837397</v>
      </c>
    </row>
    <row r="163" spans="1:12" ht="15.75" customHeight="1">
      <c r="A163" s="53" t="s">
        <v>73</v>
      </c>
      <c r="B163" s="54"/>
      <c r="C163" s="57" t="s">
        <v>1</v>
      </c>
      <c r="D163" s="58"/>
      <c r="E163" s="57" t="s">
        <v>2</v>
      </c>
      <c r="F163" s="58"/>
      <c r="G163" s="57" t="s">
        <v>3</v>
      </c>
      <c r="H163" s="58"/>
      <c r="I163" s="57" t="s">
        <v>4</v>
      </c>
      <c r="J163" s="58"/>
      <c r="K163" s="57" t="s">
        <v>5</v>
      </c>
      <c r="L163" s="58"/>
    </row>
    <row r="164" spans="1:12" ht="15.75" customHeight="1">
      <c r="A164" s="55"/>
      <c r="B164" s="56"/>
      <c r="C164" s="24" t="s">
        <v>41</v>
      </c>
      <c r="D164" s="24" t="s">
        <v>42</v>
      </c>
      <c r="E164" s="24" t="s">
        <v>41</v>
      </c>
      <c r="F164" s="24" t="s">
        <v>42</v>
      </c>
      <c r="G164" s="24" t="s">
        <v>41</v>
      </c>
      <c r="H164" s="24" t="s">
        <v>42</v>
      </c>
      <c r="I164" s="24" t="s">
        <v>41</v>
      </c>
      <c r="J164" s="24" t="s">
        <v>42</v>
      </c>
      <c r="K164" s="24" t="s">
        <v>41</v>
      </c>
      <c r="L164" s="24" t="s">
        <v>42</v>
      </c>
    </row>
    <row r="165" spans="1:12" ht="15.75" customHeight="1">
      <c r="A165" s="65" t="s">
        <v>6</v>
      </c>
      <c r="B165" s="66"/>
      <c r="C165" s="66"/>
      <c r="D165" s="66"/>
      <c r="E165" s="66"/>
      <c r="F165" s="66"/>
      <c r="G165" s="67"/>
      <c r="H165" s="22"/>
      <c r="I165" s="22"/>
      <c r="J165" s="22"/>
      <c r="K165" s="22"/>
      <c r="L165" s="22"/>
    </row>
    <row r="166" spans="1:12" ht="15.75">
      <c r="A166" s="1">
        <v>1</v>
      </c>
      <c r="B166" s="1" t="s">
        <v>143</v>
      </c>
      <c r="C166" s="13">
        <v>200</v>
      </c>
      <c r="D166" s="27">
        <v>250</v>
      </c>
      <c r="E166" s="16">
        <v>4.94</v>
      </c>
      <c r="F166" s="10">
        <f>E166*$D$121/$C$121</f>
        <v>6.175</v>
      </c>
      <c r="G166" s="16">
        <v>6.06</v>
      </c>
      <c r="H166" s="10">
        <f>G166*$D$121/$C$121</f>
        <v>7.575</v>
      </c>
      <c r="I166" s="16">
        <v>18.62</v>
      </c>
      <c r="J166" s="10">
        <f>I166*$D$121/$C$121</f>
        <v>23.275</v>
      </c>
      <c r="K166" s="16">
        <v>148.54</v>
      </c>
      <c r="L166" s="10">
        <f>K166*$D$121/$C$121</f>
        <v>185.675</v>
      </c>
    </row>
    <row r="167" spans="1:12" ht="15.75">
      <c r="A167" s="1">
        <v>2</v>
      </c>
      <c r="B167" s="1" t="s">
        <v>57</v>
      </c>
      <c r="C167" s="2">
        <v>180</v>
      </c>
      <c r="D167" s="2">
        <v>200</v>
      </c>
      <c r="E167" s="5">
        <f>F167*C167/D167</f>
        <v>0.063</v>
      </c>
      <c r="F167" s="5">
        <v>0.07</v>
      </c>
      <c r="G167" s="5">
        <f>H167*C167/D167</f>
        <v>0.009000000000000001</v>
      </c>
      <c r="H167" s="5">
        <v>0.01</v>
      </c>
      <c r="I167" s="5">
        <f>J167*C167/D167</f>
        <v>13.779000000000002</v>
      </c>
      <c r="J167" s="5">
        <v>15.31</v>
      </c>
      <c r="K167" s="5">
        <f>L167*C167/D167</f>
        <v>55.458</v>
      </c>
      <c r="L167" s="5">
        <v>61.62</v>
      </c>
    </row>
    <row r="168" spans="1:12" ht="15.75" customHeight="1">
      <c r="A168" s="1">
        <v>3</v>
      </c>
      <c r="B168" s="1" t="s">
        <v>21</v>
      </c>
      <c r="C168" s="7" t="s">
        <v>50</v>
      </c>
      <c r="D168" s="2" t="s">
        <v>51</v>
      </c>
      <c r="E168" s="5">
        <f>F168*$C$53/$D$53</f>
        <v>1.944</v>
      </c>
      <c r="F168" s="5">
        <v>2.16</v>
      </c>
      <c r="G168" s="5">
        <f>H168*$C$53/$D$53</f>
        <v>6.822</v>
      </c>
      <c r="H168" s="5">
        <v>7.58</v>
      </c>
      <c r="I168" s="5">
        <f>J168*$C$53/$D$53</f>
        <v>14.390999999999998</v>
      </c>
      <c r="J168" s="5">
        <v>15.99</v>
      </c>
      <c r="K168" s="5">
        <f>L168*$C$53/$D$53</f>
        <v>135.576</v>
      </c>
      <c r="L168" s="5">
        <v>150.64</v>
      </c>
    </row>
    <row r="169" spans="1:12" ht="15.75" customHeight="1">
      <c r="A169" s="62" t="s">
        <v>9</v>
      </c>
      <c r="B169" s="63"/>
      <c r="C169" s="63"/>
      <c r="D169" s="64"/>
      <c r="E169" s="6">
        <f>SUM(E166:E168)</f>
        <v>6.947</v>
      </c>
      <c r="F169" s="6">
        <f aca="true" t="shared" si="30" ref="F169:L169">SUM(F166:F168)</f>
        <v>8.405000000000001</v>
      </c>
      <c r="G169" s="6">
        <f t="shared" si="30"/>
        <v>12.891</v>
      </c>
      <c r="H169" s="6">
        <f t="shared" si="30"/>
        <v>15.165</v>
      </c>
      <c r="I169" s="6">
        <f t="shared" si="30"/>
        <v>46.79</v>
      </c>
      <c r="J169" s="6">
        <f t="shared" si="30"/>
        <v>54.575</v>
      </c>
      <c r="K169" s="6">
        <f t="shared" si="30"/>
        <v>339.57399999999996</v>
      </c>
      <c r="L169" s="6">
        <f t="shared" si="30"/>
        <v>397.935</v>
      </c>
    </row>
    <row r="170" spans="1:12" ht="15.75" customHeight="1">
      <c r="A170" s="59" t="s">
        <v>10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1"/>
    </row>
    <row r="171" spans="1:12" ht="15.75">
      <c r="A171" s="1">
        <v>1</v>
      </c>
      <c r="B171" s="1" t="s">
        <v>112</v>
      </c>
      <c r="C171" s="2">
        <v>100</v>
      </c>
      <c r="D171" s="22">
        <v>150</v>
      </c>
      <c r="E171" s="5">
        <f>F171*$C$149/$D$149</f>
        <v>0.4266666666666667</v>
      </c>
      <c r="F171" s="5">
        <v>0.64</v>
      </c>
      <c r="G171" s="21"/>
      <c r="H171" s="21"/>
      <c r="I171" s="5">
        <f>J171*$C$149/$D$149</f>
        <v>10.08</v>
      </c>
      <c r="J171" s="5">
        <v>15.12</v>
      </c>
      <c r="K171" s="5">
        <f>L171*$C$149/$D$149</f>
        <v>43.13999999999999</v>
      </c>
      <c r="L171" s="5">
        <v>64.71</v>
      </c>
    </row>
    <row r="172" spans="1:12" ht="15.75" customHeight="1">
      <c r="A172" s="62" t="s">
        <v>9</v>
      </c>
      <c r="B172" s="63"/>
      <c r="C172" s="63"/>
      <c r="D172" s="64"/>
      <c r="E172" s="6">
        <f>SUM(E171)</f>
        <v>0.4266666666666667</v>
      </c>
      <c r="F172" s="6">
        <f>SUM(F171)</f>
        <v>0.64</v>
      </c>
      <c r="G172" s="6"/>
      <c r="H172" s="6"/>
      <c r="I172" s="6">
        <f>SUM(I171)</f>
        <v>10.08</v>
      </c>
      <c r="J172" s="6">
        <f>SUM(J171)</f>
        <v>15.12</v>
      </c>
      <c r="K172" s="6">
        <f>SUM(K171)</f>
        <v>43.13999999999999</v>
      </c>
      <c r="L172" s="6">
        <f>SUM(L171)</f>
        <v>64.71</v>
      </c>
    </row>
    <row r="173" spans="1:12" ht="15.75" customHeight="1">
      <c r="A173" s="59" t="s">
        <v>11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1"/>
    </row>
    <row r="174" spans="1:12" ht="31.5">
      <c r="A174" s="1">
        <v>1</v>
      </c>
      <c r="B174" s="20" t="s">
        <v>144</v>
      </c>
      <c r="C174" s="8">
        <v>200</v>
      </c>
      <c r="D174" s="15">
        <v>250</v>
      </c>
      <c r="E174" s="10">
        <v>3.9</v>
      </c>
      <c r="F174" s="16">
        <f>E174*$D$174/$C$174</f>
        <v>4.875</v>
      </c>
      <c r="G174" s="10">
        <v>6.7</v>
      </c>
      <c r="H174" s="16">
        <f>G174*$D$174/$C$174</f>
        <v>8.375</v>
      </c>
      <c r="I174" s="10">
        <v>28.3</v>
      </c>
      <c r="J174" s="16">
        <f>I174*$D$174/$C$174</f>
        <v>35.375</v>
      </c>
      <c r="K174" s="10">
        <v>104</v>
      </c>
      <c r="L174" s="16">
        <f>K174*$D$174/$C$174</f>
        <v>130</v>
      </c>
    </row>
    <row r="175" spans="1:12" ht="15.75">
      <c r="A175" s="1">
        <v>2</v>
      </c>
      <c r="B175" s="1" t="s">
        <v>145</v>
      </c>
      <c r="C175" s="2">
        <v>60</v>
      </c>
      <c r="D175" s="2">
        <v>70</v>
      </c>
      <c r="E175" s="5">
        <f>7.83</f>
        <v>7.83</v>
      </c>
      <c r="F175" s="5">
        <v>9.16</v>
      </c>
      <c r="G175" s="29">
        <v>11.56</v>
      </c>
      <c r="H175" s="29">
        <v>13.53</v>
      </c>
      <c r="I175" s="21">
        <v>8.07</v>
      </c>
      <c r="J175" s="21">
        <v>9.44</v>
      </c>
      <c r="K175" s="29">
        <v>167.64</v>
      </c>
      <c r="L175" s="29">
        <v>196.14</v>
      </c>
    </row>
    <row r="176" spans="1:12" ht="15.75">
      <c r="A176" s="1">
        <v>3</v>
      </c>
      <c r="B176" s="11" t="s">
        <v>123</v>
      </c>
      <c r="C176" s="8">
        <v>150</v>
      </c>
      <c r="D176" s="15">
        <v>180</v>
      </c>
      <c r="E176" s="10">
        <v>5.52</v>
      </c>
      <c r="F176" s="16">
        <v>6.24</v>
      </c>
      <c r="G176" s="10">
        <v>5.3</v>
      </c>
      <c r="H176" s="16">
        <f>G176*$D$107/$C$107</f>
        <v>7.95</v>
      </c>
      <c r="I176" s="10">
        <v>35.33</v>
      </c>
      <c r="J176" s="16">
        <f>I176*$D$107/$C$107</f>
        <v>52.99499999999999</v>
      </c>
      <c r="K176" s="10">
        <v>151.1</v>
      </c>
      <c r="L176" s="16">
        <f>K176*$D$107/$C$107</f>
        <v>226.65</v>
      </c>
    </row>
    <row r="177" spans="1:12" ht="15.75">
      <c r="A177" s="1">
        <v>4</v>
      </c>
      <c r="B177" s="1" t="s">
        <v>103</v>
      </c>
      <c r="C177" s="8">
        <v>40</v>
      </c>
      <c r="D177" s="2">
        <v>60</v>
      </c>
      <c r="E177" s="5">
        <f>0.5*40/45.5</f>
        <v>0.43956043956043955</v>
      </c>
      <c r="F177" s="5">
        <f>0.5*60/45.5</f>
        <v>0.6593406593406593</v>
      </c>
      <c r="G177" s="5"/>
      <c r="H177" s="5"/>
      <c r="I177" s="5">
        <f>2.3*40/45.5</f>
        <v>2.021978021978022</v>
      </c>
      <c r="J177" s="5">
        <f>2.3*60/45.5</f>
        <v>3.032967032967033</v>
      </c>
      <c r="K177" s="5">
        <f>56.96*40/45.5</f>
        <v>50.074725274725274</v>
      </c>
      <c r="L177" s="5">
        <f>56.96*60/45.5</f>
        <v>75.11208791208792</v>
      </c>
    </row>
    <row r="178" spans="1:12" ht="15.75">
      <c r="A178" s="1">
        <v>5</v>
      </c>
      <c r="B178" s="1" t="s">
        <v>106</v>
      </c>
      <c r="C178" s="2">
        <v>150</v>
      </c>
      <c r="D178" s="2">
        <v>180</v>
      </c>
      <c r="E178" s="5">
        <f>0.4*150/150</f>
        <v>0.4</v>
      </c>
      <c r="F178" s="5">
        <f>0.4*180/150</f>
        <v>0.48</v>
      </c>
      <c r="G178" s="5"/>
      <c r="H178" s="5"/>
      <c r="I178" s="5">
        <f>9.7*150/150</f>
        <v>9.7</v>
      </c>
      <c r="J178" s="5">
        <f>9.7*180/150</f>
        <v>11.639999999999999</v>
      </c>
      <c r="K178" s="5">
        <f>50*150/150</f>
        <v>50</v>
      </c>
      <c r="L178" s="5">
        <f>50*180/150</f>
        <v>60</v>
      </c>
    </row>
    <row r="179" spans="1:12" ht="15.75">
      <c r="A179" s="1">
        <v>6</v>
      </c>
      <c r="B179" s="1" t="s">
        <v>15</v>
      </c>
      <c r="C179" s="2">
        <v>50</v>
      </c>
      <c r="D179" s="2">
        <v>70</v>
      </c>
      <c r="E179" s="5">
        <f>C179*2.81/60</f>
        <v>2.341666666666667</v>
      </c>
      <c r="F179" s="5">
        <f>D179*2.81/60</f>
        <v>3.2783333333333338</v>
      </c>
      <c r="G179" s="5">
        <f>C179*0.44/60</f>
        <v>0.36666666666666664</v>
      </c>
      <c r="H179" s="5">
        <f>D179*0.44/60</f>
        <v>0.5133333333333333</v>
      </c>
      <c r="I179" s="5">
        <f>C179*23.52/60</f>
        <v>19.6</v>
      </c>
      <c r="J179" s="5">
        <f>D179*23.52/60</f>
        <v>27.439999999999998</v>
      </c>
      <c r="K179" s="5">
        <f>C179*111.56/60</f>
        <v>92.96666666666667</v>
      </c>
      <c r="L179" s="5">
        <f>D179*111.56/60</f>
        <v>130.15333333333334</v>
      </c>
    </row>
    <row r="180" spans="1:12" ht="15.75" customHeight="1">
      <c r="A180" s="62" t="s">
        <v>9</v>
      </c>
      <c r="B180" s="63"/>
      <c r="C180" s="63"/>
      <c r="D180" s="64"/>
      <c r="E180" s="6">
        <f>SUM(E174:E179)</f>
        <v>20.431227106227105</v>
      </c>
      <c r="F180" s="6">
        <f aca="true" t="shared" si="31" ref="F180:L180">SUM(F174:F179)</f>
        <v>24.692673992673992</v>
      </c>
      <c r="G180" s="6">
        <f t="shared" si="31"/>
        <v>23.92666666666667</v>
      </c>
      <c r="H180" s="6">
        <f t="shared" si="31"/>
        <v>30.368333333333332</v>
      </c>
      <c r="I180" s="6">
        <f t="shared" si="31"/>
        <v>103.02197802197804</v>
      </c>
      <c r="J180" s="6">
        <f t="shared" si="31"/>
        <v>139.92296703296702</v>
      </c>
      <c r="K180" s="6">
        <f t="shared" si="31"/>
        <v>615.781391941392</v>
      </c>
      <c r="L180" s="6">
        <f t="shared" si="31"/>
        <v>818.0554212454211</v>
      </c>
    </row>
    <row r="181" spans="1:12" ht="15.75" customHeight="1">
      <c r="A181" s="59" t="s">
        <v>16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1"/>
    </row>
    <row r="182" spans="1:12" ht="15.75">
      <c r="A182" s="1">
        <v>1</v>
      </c>
      <c r="B182" s="20" t="s">
        <v>54</v>
      </c>
      <c r="C182" s="8">
        <v>60</v>
      </c>
      <c r="D182" s="15">
        <v>70</v>
      </c>
      <c r="E182" s="16">
        <v>7.08</v>
      </c>
      <c r="F182" s="10">
        <f>E182*$D$182/$C$182</f>
        <v>8.26</v>
      </c>
      <c r="G182" s="10">
        <f>2.63</f>
        <v>2.63</v>
      </c>
      <c r="H182" s="10">
        <f>2.63*$D$182/$C$182</f>
        <v>3.0683333333333334</v>
      </c>
      <c r="I182" s="16">
        <v>41.81</v>
      </c>
      <c r="J182" s="10">
        <f>41.81*$D$182/$C$182</f>
        <v>48.778333333333336</v>
      </c>
      <c r="K182" s="17">
        <v>219.07</v>
      </c>
      <c r="L182" s="10">
        <f>219.07*$D$182/$C$182</f>
        <v>255.58166666666665</v>
      </c>
    </row>
    <row r="183" spans="1:12" ht="15.75">
      <c r="A183" s="1">
        <v>2</v>
      </c>
      <c r="B183" s="37" t="s">
        <v>153</v>
      </c>
      <c r="C183" s="2">
        <v>180</v>
      </c>
      <c r="D183" s="2">
        <v>200</v>
      </c>
      <c r="E183" s="5">
        <f>F183*C183/D183</f>
        <v>5.039999999999999</v>
      </c>
      <c r="F183" s="5">
        <v>5.6</v>
      </c>
      <c r="G183" s="5">
        <f>H183*E183/F183</f>
        <v>5.741999999999999</v>
      </c>
      <c r="H183" s="5">
        <v>6.38</v>
      </c>
      <c r="I183" s="5">
        <f>J183*G183/H183</f>
        <v>7.361999999999999</v>
      </c>
      <c r="J183" s="5">
        <v>8.18</v>
      </c>
      <c r="K183" s="5">
        <f>L183*I183/J183</f>
        <v>137.268</v>
      </c>
      <c r="L183" s="5">
        <v>152.52</v>
      </c>
    </row>
    <row r="184" spans="1:36" ht="15.75" customHeight="1">
      <c r="A184" s="62" t="s">
        <v>9</v>
      </c>
      <c r="B184" s="63"/>
      <c r="C184" s="63"/>
      <c r="D184" s="64"/>
      <c r="E184" s="6">
        <f>SUM(E182:E183)</f>
        <v>12.12</v>
      </c>
      <c r="F184" s="6">
        <f aca="true" t="shared" si="32" ref="F184:L184">SUM(F182:F183)</f>
        <v>13.86</v>
      </c>
      <c r="G184" s="6">
        <f t="shared" si="32"/>
        <v>8.372</v>
      </c>
      <c r="H184" s="6">
        <f t="shared" si="32"/>
        <v>9.448333333333334</v>
      </c>
      <c r="I184" s="6">
        <f t="shared" si="32"/>
        <v>49.172000000000004</v>
      </c>
      <c r="J184" s="6">
        <f t="shared" si="32"/>
        <v>56.958333333333336</v>
      </c>
      <c r="K184" s="6">
        <f t="shared" si="32"/>
        <v>356.33799999999997</v>
      </c>
      <c r="L184" s="6">
        <f t="shared" si="32"/>
        <v>408.1016666666667</v>
      </c>
      <c r="AB184" s="32"/>
      <c r="AC184" s="32"/>
      <c r="AD184" s="32"/>
      <c r="AE184" s="32"/>
      <c r="AF184" s="32"/>
      <c r="AG184" s="32"/>
      <c r="AH184" s="32"/>
      <c r="AI184" s="32"/>
      <c r="AJ184" s="28"/>
    </row>
    <row r="185" spans="1:12" ht="15.75" customHeight="1">
      <c r="A185" s="71" t="s">
        <v>18</v>
      </c>
      <c r="B185" s="72"/>
      <c r="C185" s="72"/>
      <c r="D185" s="73"/>
      <c r="E185" s="9">
        <f>E169+E172+E180+E184</f>
        <v>39.92489377289377</v>
      </c>
      <c r="F185" s="9">
        <f aca="true" t="shared" si="33" ref="F185:L185">F169+F172+F180+F184</f>
        <v>47.59767399267399</v>
      </c>
      <c r="G185" s="9">
        <f t="shared" si="33"/>
        <v>45.18966666666667</v>
      </c>
      <c r="H185" s="9">
        <f t="shared" si="33"/>
        <v>54.98166666666667</v>
      </c>
      <c r="I185" s="9">
        <f t="shared" si="33"/>
        <v>209.06397802197804</v>
      </c>
      <c r="J185" s="9">
        <f t="shared" si="33"/>
        <v>266.57630036630036</v>
      </c>
      <c r="K185" s="9">
        <f t="shared" si="33"/>
        <v>1354.833391941392</v>
      </c>
      <c r="L185" s="9">
        <f t="shared" si="33"/>
        <v>1688.802087912088</v>
      </c>
    </row>
    <row r="186" spans="1:12" ht="15.75" customHeight="1">
      <c r="A186" s="53" t="s">
        <v>74</v>
      </c>
      <c r="B186" s="54"/>
      <c r="C186" s="57" t="s">
        <v>1</v>
      </c>
      <c r="D186" s="58"/>
      <c r="E186" s="57" t="s">
        <v>2</v>
      </c>
      <c r="F186" s="58"/>
      <c r="G186" s="57" t="s">
        <v>3</v>
      </c>
      <c r="H186" s="58"/>
      <c r="I186" s="57" t="s">
        <v>4</v>
      </c>
      <c r="J186" s="58"/>
      <c r="K186" s="57" t="s">
        <v>5</v>
      </c>
      <c r="L186" s="58"/>
    </row>
    <row r="187" spans="1:12" ht="15.75" customHeight="1">
      <c r="A187" s="55"/>
      <c r="B187" s="56"/>
      <c r="C187" s="24" t="s">
        <v>41</v>
      </c>
      <c r="D187" s="24" t="s">
        <v>42</v>
      </c>
      <c r="E187" s="24" t="s">
        <v>41</v>
      </c>
      <c r="F187" s="24" t="s">
        <v>42</v>
      </c>
      <c r="G187" s="24" t="s">
        <v>41</v>
      </c>
      <c r="H187" s="24" t="s">
        <v>42</v>
      </c>
      <c r="I187" s="24" t="s">
        <v>41</v>
      </c>
      <c r="J187" s="24" t="s">
        <v>42</v>
      </c>
      <c r="K187" s="24" t="s">
        <v>41</v>
      </c>
      <c r="L187" s="24" t="s">
        <v>42</v>
      </c>
    </row>
    <row r="188" spans="1:12" ht="15.75" customHeight="1">
      <c r="A188" s="65" t="s">
        <v>6</v>
      </c>
      <c r="B188" s="66"/>
      <c r="C188" s="66"/>
      <c r="D188" s="66"/>
      <c r="E188" s="66"/>
      <c r="F188" s="66"/>
      <c r="G188" s="67"/>
      <c r="H188" s="22"/>
      <c r="I188" s="22"/>
      <c r="J188" s="22"/>
      <c r="K188" s="22"/>
      <c r="L188" s="22"/>
    </row>
    <row r="189" spans="1:12" ht="15.75">
      <c r="A189" s="1">
        <v>1</v>
      </c>
      <c r="B189" s="1" t="s">
        <v>79</v>
      </c>
      <c r="C189" s="2">
        <v>50</v>
      </c>
      <c r="D189" s="2">
        <v>60</v>
      </c>
      <c r="E189" s="5">
        <v>13</v>
      </c>
      <c r="F189" s="5">
        <v>15.6</v>
      </c>
      <c r="G189" s="5">
        <v>12</v>
      </c>
      <c r="H189" s="29">
        <v>14.4</v>
      </c>
      <c r="I189" s="29">
        <v>1</v>
      </c>
      <c r="J189" s="29">
        <v>1.2</v>
      </c>
      <c r="K189" s="29">
        <v>157</v>
      </c>
      <c r="L189" s="29">
        <v>188.4</v>
      </c>
    </row>
    <row r="190" spans="1:12" ht="15.75">
      <c r="A190" s="1">
        <v>2</v>
      </c>
      <c r="B190" s="1" t="s">
        <v>90</v>
      </c>
      <c r="C190" s="2">
        <v>100</v>
      </c>
      <c r="D190" s="2">
        <v>150</v>
      </c>
      <c r="E190" s="5">
        <f>3.7*$C$190/25</f>
        <v>14.8</v>
      </c>
      <c r="F190" s="5">
        <f>3.7*$D$190/25</f>
        <v>22.2</v>
      </c>
      <c r="G190" s="5">
        <f>2.34*$C$190/25</f>
        <v>9.36</v>
      </c>
      <c r="H190" s="5">
        <f>2.34*$D$190/25</f>
        <v>14.04</v>
      </c>
      <c r="I190" s="5">
        <f>20.2*$C$190/25</f>
        <v>80.8</v>
      </c>
      <c r="J190" s="5">
        <f>20.2*$D$190/25</f>
        <v>121.2</v>
      </c>
      <c r="K190" s="5">
        <f>100.8*C190/75</f>
        <v>134.4</v>
      </c>
      <c r="L190" s="5">
        <f>100.8*D190/75</f>
        <v>201.6</v>
      </c>
    </row>
    <row r="191" spans="1:12" ht="15.75">
      <c r="A191" s="1">
        <v>3</v>
      </c>
      <c r="B191" s="1" t="s">
        <v>57</v>
      </c>
      <c r="C191" s="2">
        <v>180</v>
      </c>
      <c r="D191" s="2">
        <v>200</v>
      </c>
      <c r="E191" s="5">
        <f>F191*C191/D191</f>
        <v>0.063</v>
      </c>
      <c r="F191" s="5">
        <v>0.07</v>
      </c>
      <c r="G191" s="5">
        <f>H191*C191/D191</f>
        <v>0.009000000000000001</v>
      </c>
      <c r="H191" s="5">
        <v>0.01</v>
      </c>
      <c r="I191" s="5">
        <f>J191*C191/D191</f>
        <v>13.779000000000002</v>
      </c>
      <c r="J191" s="5">
        <v>15.31</v>
      </c>
      <c r="K191" s="5">
        <f>L191*C191/D191</f>
        <v>55.458</v>
      </c>
      <c r="L191" s="5">
        <v>61.62</v>
      </c>
    </row>
    <row r="192" spans="1:12" ht="15.75">
      <c r="A192" s="14">
        <v>4</v>
      </c>
      <c r="B192" s="1" t="s">
        <v>21</v>
      </c>
      <c r="C192" s="7" t="s">
        <v>50</v>
      </c>
      <c r="D192" s="2" t="s">
        <v>51</v>
      </c>
      <c r="E192" s="5">
        <f>F192*$C$53/$D$53</f>
        <v>1.944</v>
      </c>
      <c r="F192" s="5">
        <v>2.16</v>
      </c>
      <c r="G192" s="5">
        <f>H192*$C$53/$D$53</f>
        <v>6.822</v>
      </c>
      <c r="H192" s="5">
        <v>7.58</v>
      </c>
      <c r="I192" s="5">
        <f>J192*$C$53/$D$53</f>
        <v>14.390999999999998</v>
      </c>
      <c r="J192" s="5">
        <v>15.99</v>
      </c>
      <c r="K192" s="5">
        <f>L192*$C$53/$D$53</f>
        <v>144.576</v>
      </c>
      <c r="L192" s="5">
        <v>160.64</v>
      </c>
    </row>
    <row r="193" spans="1:12" ht="15.75" customHeight="1">
      <c r="A193" s="62" t="s">
        <v>9</v>
      </c>
      <c r="B193" s="63"/>
      <c r="C193" s="63"/>
      <c r="D193" s="64"/>
      <c r="E193" s="19">
        <f aca="true" t="shared" si="34" ref="E193:L193">SUM(E189:E192)</f>
        <v>29.807</v>
      </c>
      <c r="F193" s="19">
        <f t="shared" si="34"/>
        <v>40.03</v>
      </c>
      <c r="G193" s="19">
        <f t="shared" si="34"/>
        <v>28.191</v>
      </c>
      <c r="H193" s="19">
        <f t="shared" si="34"/>
        <v>36.03</v>
      </c>
      <c r="I193" s="19">
        <f t="shared" si="34"/>
        <v>109.97</v>
      </c>
      <c r="J193" s="19">
        <f t="shared" si="34"/>
        <v>153.70000000000002</v>
      </c>
      <c r="K193" s="19">
        <f t="shared" si="34"/>
        <v>491.43399999999997</v>
      </c>
      <c r="L193" s="19">
        <f t="shared" si="34"/>
        <v>612.26</v>
      </c>
    </row>
    <row r="194" spans="1:12" ht="15.75" customHeight="1">
      <c r="A194" s="59" t="s">
        <v>10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1"/>
    </row>
    <row r="195" spans="1:12" ht="15.75">
      <c r="A195" s="1">
        <v>1</v>
      </c>
      <c r="B195" s="1" t="s">
        <v>46</v>
      </c>
      <c r="C195" s="2">
        <v>100</v>
      </c>
      <c r="D195" s="2">
        <v>100</v>
      </c>
      <c r="E195" s="5">
        <f>0.4*100/150</f>
        <v>0.26666666666666666</v>
      </c>
      <c r="F195" s="5">
        <f>0.4*100/150</f>
        <v>0.26666666666666666</v>
      </c>
      <c r="G195" s="5"/>
      <c r="H195" s="5"/>
      <c r="I195" s="5">
        <f>9.7*100/150</f>
        <v>6.466666666666666</v>
      </c>
      <c r="J195" s="5">
        <f>9.7*100/150</f>
        <v>6.466666666666666</v>
      </c>
      <c r="K195" s="5">
        <f>50*100/150</f>
        <v>33.333333333333336</v>
      </c>
      <c r="L195" s="5">
        <f>50*100/150</f>
        <v>33.333333333333336</v>
      </c>
    </row>
    <row r="196" spans="1:12" ht="15.75" customHeight="1">
      <c r="A196" s="62" t="s">
        <v>9</v>
      </c>
      <c r="B196" s="63"/>
      <c r="C196" s="63"/>
      <c r="D196" s="64"/>
      <c r="E196" s="12">
        <f>SUM(E195)</f>
        <v>0.26666666666666666</v>
      </c>
      <c r="F196" s="12">
        <f>SUM(F195)</f>
        <v>0.26666666666666666</v>
      </c>
      <c r="G196" s="12"/>
      <c r="H196" s="12"/>
      <c r="I196" s="12">
        <f>SUM(I195)</f>
        <v>6.466666666666666</v>
      </c>
      <c r="J196" s="12">
        <f>SUM(J195)</f>
        <v>6.466666666666666</v>
      </c>
      <c r="K196" s="12">
        <f>SUM(K195)</f>
        <v>33.333333333333336</v>
      </c>
      <c r="L196" s="12">
        <f>SUM(L195)</f>
        <v>33.333333333333336</v>
      </c>
    </row>
    <row r="197" spans="1:12" ht="15.75" customHeight="1">
      <c r="A197" s="59" t="s">
        <v>11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1"/>
    </row>
    <row r="198" spans="1:12" ht="31.5">
      <c r="A198" s="1">
        <v>1</v>
      </c>
      <c r="B198" s="20" t="s">
        <v>146</v>
      </c>
      <c r="C198" s="2">
        <v>200</v>
      </c>
      <c r="D198" s="2">
        <v>250</v>
      </c>
      <c r="E198" s="5">
        <v>10.09</v>
      </c>
      <c r="F198" s="5">
        <f>E198*$D$198/$C$198</f>
        <v>12.6125</v>
      </c>
      <c r="G198" s="5">
        <v>2.48</v>
      </c>
      <c r="H198" s="5">
        <f>G198*$D$198/$C$198</f>
        <v>3.1</v>
      </c>
      <c r="I198" s="5">
        <v>18</v>
      </c>
      <c r="J198" s="5">
        <f>I198*$D$198/$C$198</f>
        <v>22.5</v>
      </c>
      <c r="K198" s="5">
        <v>147.2</v>
      </c>
      <c r="L198" s="5">
        <v>238</v>
      </c>
    </row>
    <row r="199" spans="1:12" ht="15.75">
      <c r="A199" s="1">
        <v>2</v>
      </c>
      <c r="B199" s="20" t="s">
        <v>147</v>
      </c>
      <c r="C199" s="8">
        <v>80</v>
      </c>
      <c r="D199" s="8">
        <v>110</v>
      </c>
      <c r="E199" s="10">
        <f>F199*$C$199/$D$199</f>
        <v>16.96</v>
      </c>
      <c r="F199" s="10">
        <v>23.32</v>
      </c>
      <c r="G199" s="10">
        <f>H199*$C$199/$D$199</f>
        <v>21.054545454545455</v>
      </c>
      <c r="H199" s="10">
        <v>28.95</v>
      </c>
      <c r="I199" s="10">
        <f>J199*$C$199/$D$199</f>
        <v>3.418181818181818</v>
      </c>
      <c r="J199" s="10">
        <v>4.7</v>
      </c>
      <c r="K199" s="10">
        <v>209.09</v>
      </c>
      <c r="L199" s="10">
        <v>231.25</v>
      </c>
    </row>
    <row r="200" spans="1:12" ht="15.75">
      <c r="A200" s="1">
        <v>3</v>
      </c>
      <c r="B200" s="20" t="s">
        <v>148</v>
      </c>
      <c r="C200" s="2">
        <v>150</v>
      </c>
      <c r="D200" s="2">
        <v>180</v>
      </c>
      <c r="E200" s="5">
        <v>3.19</v>
      </c>
      <c r="F200" s="21">
        <f>E200*$D$62/$C$62</f>
        <v>3.8280000000000003</v>
      </c>
      <c r="G200" s="5">
        <v>6.06</v>
      </c>
      <c r="H200" s="21">
        <f>G200*$D$62/$C$62</f>
        <v>7.271999999999999</v>
      </c>
      <c r="I200" s="5">
        <v>23.29</v>
      </c>
      <c r="J200" s="21">
        <f>I200*$D$62/$C$62</f>
        <v>27.948</v>
      </c>
      <c r="K200" s="5">
        <v>100.45</v>
      </c>
      <c r="L200" s="21">
        <v>150.36</v>
      </c>
    </row>
    <row r="201" spans="1:12" ht="15.75">
      <c r="A201" s="1">
        <v>4</v>
      </c>
      <c r="B201" s="1" t="s">
        <v>114</v>
      </c>
      <c r="C201" s="2">
        <v>40</v>
      </c>
      <c r="D201" s="2">
        <v>60</v>
      </c>
      <c r="E201" s="5">
        <f>0.36*40/45.5</f>
        <v>0.31648351648351647</v>
      </c>
      <c r="F201" s="5">
        <f>0.36*60/45.5</f>
        <v>0.4747252747252747</v>
      </c>
      <c r="G201" s="5"/>
      <c r="H201" s="5"/>
      <c r="I201" s="5">
        <v>1.5</v>
      </c>
      <c r="J201" s="5">
        <f>I201*60/40</f>
        <v>2.25</v>
      </c>
      <c r="K201" s="5">
        <f>51.8*40/45.5</f>
        <v>45.53846153846154</v>
      </c>
      <c r="L201" s="5">
        <f>51.8*60/45.5</f>
        <v>68.3076923076923</v>
      </c>
    </row>
    <row r="202" spans="1:12" ht="15.75">
      <c r="A202" s="1">
        <v>5</v>
      </c>
      <c r="B202" s="1" t="s">
        <v>103</v>
      </c>
      <c r="C202" s="8">
        <v>40</v>
      </c>
      <c r="D202" s="2">
        <v>60</v>
      </c>
      <c r="E202" s="5">
        <f>0.5*40/45.5</f>
        <v>0.43956043956043955</v>
      </c>
      <c r="F202" s="5">
        <f>0.5*60/45.5</f>
        <v>0.6593406593406593</v>
      </c>
      <c r="G202" s="5"/>
      <c r="H202" s="5"/>
      <c r="I202" s="5">
        <f>2.3*40/45.5</f>
        <v>2.021978021978022</v>
      </c>
      <c r="J202" s="5">
        <f>2.3*60/45.5</f>
        <v>3.032967032967033</v>
      </c>
      <c r="K202" s="5">
        <f>56.96*40/45.5</f>
        <v>50.074725274725274</v>
      </c>
      <c r="L202" s="5">
        <f>56.96*60/45.5</f>
        <v>75.11208791208792</v>
      </c>
    </row>
    <row r="203" spans="1:12" ht="15.75">
      <c r="A203" s="1">
        <v>6</v>
      </c>
      <c r="B203" s="1" t="s">
        <v>14</v>
      </c>
      <c r="C203" s="2">
        <v>180</v>
      </c>
      <c r="D203" s="2">
        <v>200</v>
      </c>
      <c r="E203" s="5">
        <f>180*0.54/200</f>
        <v>0.486</v>
      </c>
      <c r="F203" s="5">
        <v>0.54</v>
      </c>
      <c r="G203" s="5"/>
      <c r="H203" s="5"/>
      <c r="I203" s="5">
        <f>180*J203/200</f>
        <v>25.065</v>
      </c>
      <c r="J203" s="5">
        <v>27.85</v>
      </c>
      <c r="K203" s="5">
        <v>96.93</v>
      </c>
      <c r="L203" s="5">
        <v>127.7</v>
      </c>
    </row>
    <row r="204" spans="1:12" ht="15.75">
      <c r="A204" s="1">
        <v>7</v>
      </c>
      <c r="B204" s="20" t="s">
        <v>15</v>
      </c>
      <c r="C204" s="2">
        <v>40</v>
      </c>
      <c r="D204" s="2">
        <v>50</v>
      </c>
      <c r="E204" s="5">
        <f>C204*2.81/60</f>
        <v>1.8733333333333335</v>
      </c>
      <c r="F204" s="5">
        <f>D204*2.81/60</f>
        <v>2.341666666666667</v>
      </c>
      <c r="G204" s="5">
        <f>C204*0.44/60</f>
        <v>0.29333333333333333</v>
      </c>
      <c r="H204" s="5">
        <f>D204*0.44/60</f>
        <v>0.36666666666666664</v>
      </c>
      <c r="I204" s="5">
        <f>C204*23.52/60</f>
        <v>15.68</v>
      </c>
      <c r="J204" s="5">
        <f>D204*23.52/60</f>
        <v>19.6</v>
      </c>
      <c r="K204" s="5">
        <f>C204*111.56/60</f>
        <v>74.37333333333332</v>
      </c>
      <c r="L204" s="5">
        <f>D204*111.56/60</f>
        <v>92.96666666666667</v>
      </c>
    </row>
    <row r="205" spans="1:12" ht="15.75" customHeight="1">
      <c r="A205" s="62" t="s">
        <v>9</v>
      </c>
      <c r="B205" s="63"/>
      <c r="C205" s="63"/>
      <c r="D205" s="64"/>
      <c r="E205" s="12">
        <f>SUM(E198:E204)</f>
        <v>33.35537728937729</v>
      </c>
      <c r="F205" s="12">
        <f aca="true" t="shared" si="35" ref="F205:L205">SUM(F198:F204)</f>
        <v>43.776232600732605</v>
      </c>
      <c r="G205" s="12">
        <f t="shared" si="35"/>
        <v>29.887878787878787</v>
      </c>
      <c r="H205" s="12">
        <f t="shared" si="35"/>
        <v>39.68866666666666</v>
      </c>
      <c r="I205" s="12">
        <f t="shared" si="35"/>
        <v>88.97515984015985</v>
      </c>
      <c r="J205" s="12">
        <f t="shared" si="35"/>
        <v>107.88096703296702</v>
      </c>
      <c r="K205" s="12">
        <f t="shared" si="35"/>
        <v>723.6565201465202</v>
      </c>
      <c r="L205" s="12">
        <f t="shared" si="35"/>
        <v>983.6964468864469</v>
      </c>
    </row>
    <row r="206" spans="1:12" ht="15" customHeight="1">
      <c r="A206" s="59" t="s">
        <v>16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1"/>
    </row>
    <row r="207" spans="1:12" ht="15.75" hidden="1">
      <c r="A207" s="1"/>
      <c r="B207" s="37"/>
      <c r="C207" s="2"/>
      <c r="D207" s="2"/>
      <c r="E207" s="5"/>
      <c r="F207" s="5"/>
      <c r="G207" s="5"/>
      <c r="H207" s="5"/>
      <c r="I207" s="5"/>
      <c r="J207" s="5"/>
      <c r="K207" s="5"/>
      <c r="L207" s="5"/>
    </row>
    <row r="208" spans="1:12" ht="15.75">
      <c r="A208" s="1">
        <v>1</v>
      </c>
      <c r="B208" s="37" t="s">
        <v>162</v>
      </c>
      <c r="C208" s="2">
        <v>30</v>
      </c>
      <c r="D208" s="2">
        <v>50</v>
      </c>
      <c r="E208" s="5">
        <f>E207*30/50</f>
        <v>0</v>
      </c>
      <c r="F208" s="5">
        <f>F207*50/70</f>
        <v>0</v>
      </c>
      <c r="G208" s="5">
        <f>19.4*$C$208/100</f>
        <v>5.82</v>
      </c>
      <c r="H208" s="5">
        <f>19.4*$D$208/100</f>
        <v>9.7</v>
      </c>
      <c r="I208" s="5">
        <f>I207*30/50</f>
        <v>0</v>
      </c>
      <c r="J208" s="5">
        <f>J207*50/70</f>
        <v>0</v>
      </c>
      <c r="K208" s="5">
        <f>K207*30/50</f>
        <v>0</v>
      </c>
      <c r="L208" s="5">
        <f>L207*50/70</f>
        <v>0</v>
      </c>
    </row>
    <row r="209" spans="1:12" ht="15.75">
      <c r="A209" s="1">
        <v>2</v>
      </c>
      <c r="B209" s="1" t="s">
        <v>22</v>
      </c>
      <c r="C209" s="2">
        <v>100</v>
      </c>
      <c r="D209" s="2">
        <v>150</v>
      </c>
      <c r="E209" s="5">
        <f>F209*100/D209</f>
        <v>0.4266666666666667</v>
      </c>
      <c r="F209" s="2">
        <v>0.64</v>
      </c>
      <c r="G209" s="2"/>
      <c r="H209" s="2"/>
      <c r="I209" s="5">
        <f>J209*100/D209</f>
        <v>10.08</v>
      </c>
      <c r="J209" s="2">
        <v>15.12</v>
      </c>
      <c r="K209" s="5">
        <f>L209*C209/D209</f>
        <v>43.14666666666667</v>
      </c>
      <c r="L209" s="2">
        <v>64.72</v>
      </c>
    </row>
    <row r="210" spans="1:12" ht="31.5">
      <c r="A210" s="1">
        <v>3</v>
      </c>
      <c r="B210" s="20" t="s">
        <v>142</v>
      </c>
      <c r="C210" s="8">
        <v>180</v>
      </c>
      <c r="D210" s="8">
        <v>200</v>
      </c>
      <c r="E210" s="10">
        <f>3.77*180/200</f>
        <v>3.3930000000000002</v>
      </c>
      <c r="F210" s="16">
        <f>3.77*$D$159/200</f>
        <v>3.77</v>
      </c>
      <c r="G210" s="10">
        <f>3.93*180/200</f>
        <v>3.537</v>
      </c>
      <c r="H210" s="16">
        <f>3.93*$D$159/200</f>
        <v>3.93</v>
      </c>
      <c r="I210" s="10">
        <f>25.95*180/200</f>
        <v>23.355</v>
      </c>
      <c r="J210" s="16">
        <f>25.95*$D$159/200</f>
        <v>25.95</v>
      </c>
      <c r="K210" s="10">
        <f>153.92*180/200</f>
        <v>138.528</v>
      </c>
      <c r="L210" s="16">
        <f>193.92*$D$159/200</f>
        <v>193.92</v>
      </c>
    </row>
    <row r="211" spans="1:12" ht="15.75" customHeight="1">
      <c r="A211" s="62" t="s">
        <v>9</v>
      </c>
      <c r="B211" s="63"/>
      <c r="C211" s="63"/>
      <c r="D211" s="64"/>
      <c r="E211" s="6">
        <f>SUM(E207:E210)</f>
        <v>3.819666666666667</v>
      </c>
      <c r="F211" s="6">
        <f>SUM(F207:F210)</f>
        <v>4.41</v>
      </c>
      <c r="G211" s="6">
        <f>SUM(G207:G210)</f>
        <v>9.357</v>
      </c>
      <c r="H211" s="6">
        <f>SUM(H207:H210)</f>
        <v>13.629999999999999</v>
      </c>
      <c r="I211" s="6">
        <f>SUM(I207:I210)</f>
        <v>33.435</v>
      </c>
      <c r="J211" s="6">
        <f>SUM(J207:J210)</f>
        <v>41.07</v>
      </c>
      <c r="K211" s="6">
        <f>SUM(K207:K210)</f>
        <v>181.67466666666667</v>
      </c>
      <c r="L211" s="6">
        <f>SUM(L207:L210)</f>
        <v>258.64</v>
      </c>
    </row>
    <row r="212" spans="1:12" ht="15.75" customHeight="1">
      <c r="A212" s="71" t="s">
        <v>18</v>
      </c>
      <c r="B212" s="72"/>
      <c r="C212" s="72"/>
      <c r="D212" s="73"/>
      <c r="E212" s="9">
        <f>E193+E196+E205+E211</f>
        <v>67.24871062271062</v>
      </c>
      <c r="F212" s="9">
        <f>F193+F196+F205+F211</f>
        <v>88.48289926739926</v>
      </c>
      <c r="G212" s="9">
        <f>G193+G196+G205+G211</f>
        <v>67.43587878787878</v>
      </c>
      <c r="H212" s="9">
        <f>H193+H196+H205+H211</f>
        <v>89.34866666666666</v>
      </c>
      <c r="I212" s="9">
        <f>I193+I196+I205+I211</f>
        <v>238.84682650682652</v>
      </c>
      <c r="J212" s="9">
        <f>J193+J196+J205+J211</f>
        <v>309.1176336996337</v>
      </c>
      <c r="K212" s="9">
        <f>K193+K196+K205+K211</f>
        <v>1430.09852014652</v>
      </c>
      <c r="L212" s="9">
        <f>L193+L196+L205+L211</f>
        <v>1887.9297802197802</v>
      </c>
    </row>
    <row r="213" spans="1:12" ht="15.75" customHeight="1">
      <c r="A213" s="53" t="s">
        <v>76</v>
      </c>
      <c r="B213" s="54"/>
      <c r="C213" s="57" t="s">
        <v>1</v>
      </c>
      <c r="D213" s="58"/>
      <c r="E213" s="57" t="s">
        <v>2</v>
      </c>
      <c r="F213" s="58"/>
      <c r="G213" s="57" t="s">
        <v>3</v>
      </c>
      <c r="H213" s="58"/>
      <c r="I213" s="57" t="s">
        <v>4</v>
      </c>
      <c r="J213" s="58"/>
      <c r="K213" s="57" t="s">
        <v>5</v>
      </c>
      <c r="L213" s="58"/>
    </row>
    <row r="214" spans="1:12" ht="15.75" customHeight="1">
      <c r="A214" s="55"/>
      <c r="B214" s="56"/>
      <c r="C214" s="24" t="s">
        <v>41</v>
      </c>
      <c r="D214" s="24" t="s">
        <v>42</v>
      </c>
      <c r="E214" s="24" t="s">
        <v>41</v>
      </c>
      <c r="F214" s="24" t="s">
        <v>42</v>
      </c>
      <c r="G214" s="24" t="s">
        <v>41</v>
      </c>
      <c r="H214" s="24" t="s">
        <v>42</v>
      </c>
      <c r="I214" s="24" t="s">
        <v>41</v>
      </c>
      <c r="J214" s="24" t="s">
        <v>42</v>
      </c>
      <c r="K214" s="24" t="s">
        <v>41</v>
      </c>
      <c r="L214" s="24" t="s">
        <v>42</v>
      </c>
    </row>
    <row r="215" spans="1:12" ht="15.75">
      <c r="A215" s="1">
        <v>1</v>
      </c>
      <c r="B215" s="1" t="s">
        <v>92</v>
      </c>
      <c r="C215" s="2">
        <v>200</v>
      </c>
      <c r="D215" s="2">
        <v>250</v>
      </c>
      <c r="E215" s="5">
        <v>4.3</v>
      </c>
      <c r="F215" s="5">
        <v>5.3</v>
      </c>
      <c r="G215" s="5">
        <v>9.58</v>
      </c>
      <c r="H215" s="29">
        <v>11.97</v>
      </c>
      <c r="I215" s="29">
        <v>25.5</v>
      </c>
      <c r="J215" s="29">
        <v>31.9</v>
      </c>
      <c r="K215" s="21">
        <v>175.83</v>
      </c>
      <c r="L215" s="29">
        <v>258.85</v>
      </c>
    </row>
    <row r="216" spans="1:12" ht="15.75">
      <c r="A216" s="1">
        <v>2</v>
      </c>
      <c r="B216" s="1" t="s">
        <v>57</v>
      </c>
      <c r="C216" s="2">
        <v>180</v>
      </c>
      <c r="D216" s="2">
        <v>200</v>
      </c>
      <c r="E216" s="5">
        <f>F216*C216/D216</f>
        <v>0.063</v>
      </c>
      <c r="F216" s="5">
        <v>0.07</v>
      </c>
      <c r="G216" s="5">
        <f>H216*C216/D216</f>
        <v>0.009000000000000001</v>
      </c>
      <c r="H216" s="5">
        <v>0.01</v>
      </c>
      <c r="I216" s="5">
        <f>J216*C216/D216</f>
        <v>13.779000000000002</v>
      </c>
      <c r="J216" s="5">
        <v>15.31</v>
      </c>
      <c r="K216" s="5">
        <f>L216*C216/D216</f>
        <v>55.458</v>
      </c>
      <c r="L216" s="5">
        <v>61.62</v>
      </c>
    </row>
    <row r="217" spans="1:12" ht="18" customHeight="1">
      <c r="A217" s="1">
        <v>3</v>
      </c>
      <c r="B217" s="1" t="s">
        <v>8</v>
      </c>
      <c r="C217" s="2" t="s">
        <v>44</v>
      </c>
      <c r="D217" s="2" t="s">
        <v>45</v>
      </c>
      <c r="E217" s="5">
        <v>6.1</v>
      </c>
      <c r="F217" s="5">
        <v>12.8</v>
      </c>
      <c r="G217" s="5">
        <v>14.6</v>
      </c>
      <c r="H217" s="5">
        <v>19.6</v>
      </c>
      <c r="I217" s="5">
        <v>6.7</v>
      </c>
      <c r="J217" s="5">
        <v>7</v>
      </c>
      <c r="K217" s="5">
        <v>164</v>
      </c>
      <c r="L217" s="5">
        <v>204</v>
      </c>
    </row>
    <row r="218" spans="1:12" ht="15.75" customHeight="1">
      <c r="A218" s="62" t="s">
        <v>9</v>
      </c>
      <c r="B218" s="63"/>
      <c r="C218" s="63"/>
      <c r="D218" s="64"/>
      <c r="E218" s="6">
        <f>SUM(E215:E217)</f>
        <v>10.463</v>
      </c>
      <c r="F218" s="6">
        <f aca="true" t="shared" si="36" ref="F218:L218">SUM(F215:F217)</f>
        <v>18.17</v>
      </c>
      <c r="G218" s="6">
        <f t="shared" si="36"/>
        <v>24.189</v>
      </c>
      <c r="H218" s="6">
        <f t="shared" si="36"/>
        <v>31.580000000000002</v>
      </c>
      <c r="I218" s="6">
        <f t="shared" si="36"/>
        <v>45.979000000000006</v>
      </c>
      <c r="J218" s="6">
        <f t="shared" si="36"/>
        <v>54.21</v>
      </c>
      <c r="K218" s="6">
        <f t="shared" si="36"/>
        <v>395.288</v>
      </c>
      <c r="L218" s="6">
        <f t="shared" si="36"/>
        <v>524.47</v>
      </c>
    </row>
    <row r="219" spans="1:12" ht="15.75" customHeight="1">
      <c r="A219" s="59" t="s">
        <v>10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1"/>
    </row>
    <row r="220" spans="1:12" ht="15.75">
      <c r="A220" s="1">
        <v>1</v>
      </c>
      <c r="B220" s="1" t="s">
        <v>120</v>
      </c>
      <c r="C220" s="2">
        <v>100</v>
      </c>
      <c r="D220" s="22">
        <v>150</v>
      </c>
      <c r="E220" s="5"/>
      <c r="F220" s="21"/>
      <c r="G220" s="21"/>
      <c r="H220" s="21"/>
      <c r="I220" s="5">
        <v>11</v>
      </c>
      <c r="J220" s="21">
        <f>I220*D220/C220</f>
        <v>16.5</v>
      </c>
      <c r="K220" s="5">
        <v>44</v>
      </c>
      <c r="L220" s="21">
        <f>K220*D220/C220</f>
        <v>66</v>
      </c>
    </row>
    <row r="221" spans="1:12" ht="15.75" customHeight="1">
      <c r="A221" s="62" t="s">
        <v>9</v>
      </c>
      <c r="B221" s="63"/>
      <c r="C221" s="63"/>
      <c r="D221" s="64"/>
      <c r="E221" s="6">
        <f>SUM(E220)</f>
        <v>0</v>
      </c>
      <c r="F221" s="6">
        <f>SUM(F220)</f>
        <v>0</v>
      </c>
      <c r="G221" s="6"/>
      <c r="H221" s="6"/>
      <c r="I221" s="6">
        <f>SUM(I220)</f>
        <v>11</v>
      </c>
      <c r="J221" s="6">
        <f>SUM(J220)</f>
        <v>16.5</v>
      </c>
      <c r="K221" s="6">
        <f>SUM(K220)</f>
        <v>44</v>
      </c>
      <c r="L221" s="6">
        <f>SUM(L220)</f>
        <v>66</v>
      </c>
    </row>
    <row r="222" spans="1:12" ht="15.75" customHeight="1">
      <c r="A222" s="59" t="s">
        <v>11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1"/>
    </row>
    <row r="223" spans="1:12" ht="15.75">
      <c r="A223" s="1">
        <v>1</v>
      </c>
      <c r="B223" s="20" t="s">
        <v>149</v>
      </c>
      <c r="C223" s="2">
        <v>200</v>
      </c>
      <c r="D223" s="2">
        <v>250</v>
      </c>
      <c r="E223" s="5">
        <v>1.54</v>
      </c>
      <c r="F223" s="5">
        <f>E223*$D$223/$C$223</f>
        <v>1.925</v>
      </c>
      <c r="G223" s="5">
        <v>4.69</v>
      </c>
      <c r="H223" s="5">
        <f>G223*$D$223/$C$223</f>
        <v>5.8625</v>
      </c>
      <c r="I223" s="29">
        <v>10.07</v>
      </c>
      <c r="J223" s="5">
        <f>I223*$D$223/$C$223</f>
        <v>12.5875</v>
      </c>
      <c r="K223" s="21">
        <v>92.19</v>
      </c>
      <c r="L223" s="5">
        <f>K223*$D$223/$C$223+30</f>
        <v>145.2375</v>
      </c>
    </row>
    <row r="224" spans="1:12" ht="15.75">
      <c r="A224" s="1">
        <v>2</v>
      </c>
      <c r="B224" s="1" t="s">
        <v>150</v>
      </c>
      <c r="C224" s="2">
        <v>60</v>
      </c>
      <c r="D224" s="2">
        <v>70</v>
      </c>
      <c r="E224" s="5">
        <v>7.98</v>
      </c>
      <c r="F224" s="5">
        <v>9.33</v>
      </c>
      <c r="G224" s="5">
        <v>2.38</v>
      </c>
      <c r="H224" s="29">
        <v>2.78</v>
      </c>
      <c r="I224" s="5">
        <v>4.08</v>
      </c>
      <c r="J224" s="21">
        <v>4.77</v>
      </c>
      <c r="K224" s="5">
        <v>69.64</v>
      </c>
      <c r="L224" s="21">
        <v>81.36</v>
      </c>
    </row>
    <row r="225" spans="1:12" ht="15.75">
      <c r="A225" s="1">
        <v>3</v>
      </c>
      <c r="B225" s="1" t="s">
        <v>151</v>
      </c>
      <c r="C225" s="2">
        <v>150</v>
      </c>
      <c r="D225" s="2">
        <v>180</v>
      </c>
      <c r="E225" s="5">
        <v>2.39</v>
      </c>
      <c r="F225" s="5">
        <f>E225*$D$225/$C$225</f>
        <v>2.8680000000000003</v>
      </c>
      <c r="G225" s="5">
        <v>4.34</v>
      </c>
      <c r="H225" s="5">
        <f>G225*$D$225/$C$225</f>
        <v>5.207999999999999</v>
      </c>
      <c r="I225" s="5">
        <f>13.75</f>
        <v>13.75</v>
      </c>
      <c r="J225" s="5">
        <f>I225*$D$225/$C$225</f>
        <v>16.5</v>
      </c>
      <c r="K225" s="5">
        <v>103.62</v>
      </c>
      <c r="L225" s="5">
        <f>K225*$D$225/$C$225</f>
        <v>124.34400000000001</v>
      </c>
    </row>
    <row r="226" spans="1:12" ht="15.75">
      <c r="A226" s="1">
        <v>4</v>
      </c>
      <c r="B226" s="1" t="s">
        <v>114</v>
      </c>
      <c r="C226" s="2">
        <v>40</v>
      </c>
      <c r="D226" s="2">
        <v>60</v>
      </c>
      <c r="E226" s="5">
        <f>0.36*40/45.5</f>
        <v>0.31648351648351647</v>
      </c>
      <c r="F226" s="5">
        <f>0.36*60/45.5</f>
        <v>0.4747252747252747</v>
      </c>
      <c r="G226" s="5"/>
      <c r="H226" s="5"/>
      <c r="I226" s="5">
        <v>1.5</v>
      </c>
      <c r="J226" s="5">
        <f>I226*60/40</f>
        <v>2.25</v>
      </c>
      <c r="K226" s="5">
        <f>51.8*40/45.5</f>
        <v>45.53846153846154</v>
      </c>
      <c r="L226" s="5">
        <f>51.8*60/45.5</f>
        <v>68.3076923076923</v>
      </c>
    </row>
    <row r="227" spans="1:12" ht="15.75">
      <c r="A227" s="1">
        <v>5</v>
      </c>
      <c r="B227" s="1" t="s">
        <v>26</v>
      </c>
      <c r="C227" s="2">
        <v>180</v>
      </c>
      <c r="D227" s="2">
        <v>200</v>
      </c>
      <c r="E227" s="5">
        <f>F227*$C$41/200</f>
        <v>0.243</v>
      </c>
      <c r="F227" s="5">
        <v>0.27</v>
      </c>
      <c r="G227" s="5"/>
      <c r="H227" s="5"/>
      <c r="I227" s="5">
        <f>30.82*$C$41/200</f>
        <v>27.738000000000003</v>
      </c>
      <c r="J227" s="5">
        <f>30.82*$C$41/200</f>
        <v>27.738000000000003</v>
      </c>
      <c r="K227" s="5">
        <f>L227*C227/D227</f>
        <v>129.753</v>
      </c>
      <c r="L227" s="5">
        <v>144.17</v>
      </c>
    </row>
    <row r="228" spans="1:12" ht="15.75">
      <c r="A228" s="1">
        <v>6</v>
      </c>
      <c r="B228" s="1" t="s">
        <v>33</v>
      </c>
      <c r="C228" s="2">
        <v>40</v>
      </c>
      <c r="D228" s="2">
        <v>60</v>
      </c>
      <c r="E228" s="5">
        <v>4.78</v>
      </c>
      <c r="F228" s="21">
        <f>E228*$C$64/$D$64</f>
        <v>4.3020000000000005</v>
      </c>
      <c r="G228" s="5">
        <v>1.96</v>
      </c>
      <c r="H228" s="21">
        <f>G228*$C$64/$D$64</f>
        <v>1.764</v>
      </c>
      <c r="I228" s="5">
        <v>35.86</v>
      </c>
      <c r="J228" s="21">
        <f>I228*$C$64/$D$64</f>
        <v>32.274</v>
      </c>
      <c r="K228" s="5">
        <f>L228*$C$228/$D$228</f>
        <v>104.26666666666667</v>
      </c>
      <c r="L228" s="21">
        <v>156.4</v>
      </c>
    </row>
    <row r="229" spans="1:12" ht="15.75" customHeight="1">
      <c r="A229" s="62" t="s">
        <v>9</v>
      </c>
      <c r="B229" s="63"/>
      <c r="C229" s="63"/>
      <c r="D229" s="64"/>
      <c r="E229" s="6">
        <f aca="true" t="shared" si="37" ref="E229:L229">SUM(E223:E228)</f>
        <v>17.24948351648352</v>
      </c>
      <c r="F229" s="6">
        <f t="shared" si="37"/>
        <v>19.169725274725277</v>
      </c>
      <c r="G229" s="6">
        <f t="shared" si="37"/>
        <v>13.370000000000001</v>
      </c>
      <c r="H229" s="6">
        <f t="shared" si="37"/>
        <v>15.6145</v>
      </c>
      <c r="I229" s="6">
        <f t="shared" si="37"/>
        <v>92.998</v>
      </c>
      <c r="J229" s="6">
        <f t="shared" si="37"/>
        <v>96.1195</v>
      </c>
      <c r="K229" s="6">
        <f t="shared" si="37"/>
        <v>545.0081282051282</v>
      </c>
      <c r="L229" s="6">
        <f t="shared" si="37"/>
        <v>719.8191923076923</v>
      </c>
    </row>
    <row r="230" spans="1:12" ht="15.75" customHeight="1">
      <c r="A230" s="59" t="s">
        <v>16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1"/>
    </row>
    <row r="231" spans="1:12" ht="15.75">
      <c r="A231" s="1">
        <v>1</v>
      </c>
      <c r="B231" s="1" t="s">
        <v>152</v>
      </c>
      <c r="C231" s="2">
        <v>150</v>
      </c>
      <c r="D231" s="2">
        <v>180</v>
      </c>
      <c r="E231" s="5">
        <f>5.78*$C$231/200</f>
        <v>4.335</v>
      </c>
      <c r="F231" s="5">
        <f>5.78*$D$231/200</f>
        <v>5.202000000000001</v>
      </c>
      <c r="G231" s="5">
        <f>12.26*$C$231/200</f>
        <v>9.195</v>
      </c>
      <c r="H231" s="5">
        <f>12.26*$D$231/200</f>
        <v>11.034</v>
      </c>
      <c r="I231" s="5">
        <f>81.65*$C$231/200</f>
        <v>61.2375</v>
      </c>
      <c r="J231" s="5">
        <f>81.65*$D$231/200</f>
        <v>73.48500000000001</v>
      </c>
      <c r="K231" s="5">
        <f>389.14*$C$231/200</f>
        <v>291.855</v>
      </c>
      <c r="L231" s="5">
        <f>400.14*$D$231/200</f>
        <v>360.126</v>
      </c>
    </row>
    <row r="232" spans="1:12" ht="15.75">
      <c r="A232" s="1">
        <v>2</v>
      </c>
      <c r="B232" s="1" t="s">
        <v>118</v>
      </c>
      <c r="C232" s="2">
        <v>180</v>
      </c>
      <c r="D232" s="2">
        <v>200</v>
      </c>
      <c r="E232" s="5">
        <f>F232*C232/D232</f>
        <v>5.039999999999999</v>
      </c>
      <c r="F232" s="5">
        <v>5.6</v>
      </c>
      <c r="G232" s="5">
        <f>H232*E232/F232</f>
        <v>5.741999999999999</v>
      </c>
      <c r="H232" s="5">
        <v>6.38</v>
      </c>
      <c r="I232" s="5">
        <f>J232*G232/H232</f>
        <v>7.361999999999999</v>
      </c>
      <c r="J232" s="5">
        <v>8.18</v>
      </c>
      <c r="K232" s="5">
        <f>L232*I232/J232</f>
        <v>137.268</v>
      </c>
      <c r="L232" s="5">
        <v>152.52</v>
      </c>
    </row>
    <row r="233" spans="1:12" ht="15.75" customHeight="1">
      <c r="A233" s="62" t="s">
        <v>9</v>
      </c>
      <c r="B233" s="63"/>
      <c r="C233" s="63"/>
      <c r="D233" s="64"/>
      <c r="E233" s="6">
        <f aca="true" t="shared" si="38" ref="E233:L233">SUM(E231:E232)</f>
        <v>9.375</v>
      </c>
      <c r="F233" s="6">
        <f t="shared" si="38"/>
        <v>10.802</v>
      </c>
      <c r="G233" s="6">
        <f t="shared" si="38"/>
        <v>14.937</v>
      </c>
      <c r="H233" s="6">
        <f t="shared" si="38"/>
        <v>17.414</v>
      </c>
      <c r="I233" s="6">
        <f t="shared" si="38"/>
        <v>68.59949999999999</v>
      </c>
      <c r="J233" s="6">
        <f t="shared" si="38"/>
        <v>81.66500000000002</v>
      </c>
      <c r="K233" s="6">
        <f t="shared" si="38"/>
        <v>429.12300000000005</v>
      </c>
      <c r="L233" s="6">
        <f t="shared" si="38"/>
        <v>512.646</v>
      </c>
    </row>
    <row r="234" spans="1:12" ht="15.75" customHeight="1">
      <c r="A234" s="71" t="s">
        <v>18</v>
      </c>
      <c r="B234" s="72"/>
      <c r="C234" s="72"/>
      <c r="D234" s="73"/>
      <c r="E234" s="9">
        <f aca="true" t="shared" si="39" ref="E234:L234">E218+E221+E229+E233</f>
        <v>37.087483516483516</v>
      </c>
      <c r="F234" s="9">
        <f t="shared" si="39"/>
        <v>48.14172527472528</v>
      </c>
      <c r="G234" s="9">
        <f t="shared" si="39"/>
        <v>52.495999999999995</v>
      </c>
      <c r="H234" s="9">
        <f t="shared" si="39"/>
        <v>64.6085</v>
      </c>
      <c r="I234" s="9">
        <f t="shared" si="39"/>
        <v>218.5765</v>
      </c>
      <c r="J234" s="9">
        <f t="shared" si="39"/>
        <v>248.49450000000002</v>
      </c>
      <c r="K234" s="9">
        <f>K218+K221+K229+K233</f>
        <v>1413.4191282051283</v>
      </c>
      <c r="L234" s="9">
        <f t="shared" si="39"/>
        <v>1822.9351923076922</v>
      </c>
    </row>
    <row r="235" spans="1:13" ht="15.75" customHeight="1">
      <c r="A235" s="71" t="s">
        <v>78</v>
      </c>
      <c r="B235" s="72"/>
      <c r="C235" s="72"/>
      <c r="D235" s="73"/>
      <c r="E235" s="9">
        <f>E25+E48+E71+E93+E117+E140+E162+E185+E212+E234</f>
        <v>554.7596061824354</v>
      </c>
      <c r="F235" s="9">
        <f>F25+F48+F71+F93+F117+F140+F162+F185+F212+F234</f>
        <v>657.3568852184402</v>
      </c>
      <c r="G235" s="9">
        <f>G25+G48+G71+G93+G117+G140+G162+G185+G212+G234</f>
        <v>630.7628679323724</v>
      </c>
      <c r="H235" s="9">
        <f>H25+H48+H71+H93+H117+H140+H162+H185+H212+H234</f>
        <v>775.9704685658334</v>
      </c>
      <c r="I235" s="9">
        <f>I25+I48+I71+I93+I117+I140+I162+I185+I212+I234</f>
        <v>2209.241899524732</v>
      </c>
      <c r="J235" s="9">
        <f>J25+J48+J71+J93+J117+J140+J162+J185+J212+J234</f>
        <v>2538.945544870613</v>
      </c>
      <c r="K235" s="9">
        <f>K25+K48+K71+K93+K117+K140+K162+K185+K212</f>
        <v>13885.506184677113</v>
      </c>
      <c r="L235" s="9">
        <f>L25+L48+L71+L93+L117+L140+L162+L185+L212</f>
        <v>17734.173186421303</v>
      </c>
      <c r="M235" s="26"/>
    </row>
    <row r="236" spans="1:12" ht="15.75">
      <c r="A236" s="28"/>
      <c r="B236" s="28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5.75">
      <c r="A237" s="28"/>
      <c r="B237" s="28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5.75">
      <c r="A238" s="28"/>
      <c r="B238" s="28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5.75">
      <c r="A239" s="28"/>
      <c r="B239" s="28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5.75">
      <c r="A240" s="28"/>
      <c r="B240" s="28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5.75">
      <c r="A241" s="28"/>
      <c r="B241" s="28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5.75">
      <c r="A242" s="28"/>
      <c r="B242" s="28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5.75">
      <c r="A243" s="28"/>
      <c r="B243" s="28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ht="15.75">
      <c r="A244" s="28"/>
      <c r="B244" s="28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15.75">
      <c r="A245" s="28"/>
      <c r="B245" s="28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15.75">
      <c r="A246" s="28"/>
      <c r="B246" s="28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5.75">
      <c r="A247" s="28"/>
      <c r="B247" s="28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ht="15.75">
      <c r="A248" s="28"/>
      <c r="B248" s="28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15.75">
      <c r="A249" s="28"/>
      <c r="B249" s="28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ht="15.75">
      <c r="A250" s="28"/>
      <c r="B250" s="28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15.75">
      <c r="A251" s="28"/>
      <c r="B251" s="28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ht="15.75">
      <c r="A252" s="28"/>
      <c r="B252" s="28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15.75">
      <c r="A253" s="28"/>
      <c r="B253" s="28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15.75">
      <c r="A254" s="28"/>
      <c r="B254" s="28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15.75">
      <c r="A255" s="28"/>
      <c r="B255" s="28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5.75">
      <c r="A256" s="28"/>
      <c r="B256" s="28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15.75">
      <c r="A257" s="28"/>
      <c r="B257" s="28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ht="15.75">
      <c r="A258" s="28"/>
      <c r="B258" s="28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15.75">
      <c r="A259" s="28"/>
      <c r="B259" s="28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ht="15.75">
      <c r="A260" s="28"/>
      <c r="B260" s="28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15.75">
      <c r="A261" s="28"/>
      <c r="B261" s="28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15.75">
      <c r="A262" s="28"/>
      <c r="B262" s="28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5.75">
      <c r="A263" s="28"/>
      <c r="B263" s="28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ht="15.75">
      <c r="A264" s="28"/>
      <c r="B264" s="28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15.75">
      <c r="A265" s="28"/>
      <c r="B265" s="28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ht="15.75">
      <c r="A266" s="28"/>
      <c r="B266" s="28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15.75">
      <c r="A267" s="28"/>
      <c r="B267" s="28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ht="15.75">
      <c r="A268" s="28"/>
      <c r="B268" s="28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15.75">
      <c r="A269" s="28"/>
      <c r="B269" s="28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15.75">
      <c r="A270" s="28"/>
      <c r="B270" s="28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5.75">
      <c r="A271" s="28"/>
      <c r="B271" s="28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ht="15.75">
      <c r="A272" s="28"/>
      <c r="B272" s="28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15.75">
      <c r="A273" s="28"/>
      <c r="B273" s="28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ht="15.75">
      <c r="A274" s="28"/>
      <c r="B274" s="28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15.75">
      <c r="A275" s="28"/>
      <c r="B275" s="28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ht="15.75">
      <c r="A276" s="28"/>
      <c r="B276" s="28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15.75">
      <c r="A277" s="28"/>
      <c r="B277" s="28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ht="15.75">
      <c r="A278" s="28"/>
      <c r="B278" s="28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15.75">
      <c r="A279" s="28"/>
      <c r="B279" s="28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ht="15.75">
      <c r="A280" s="28"/>
      <c r="B280" s="28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15.75">
      <c r="A281" s="28"/>
      <c r="B281" s="28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ht="15.75">
      <c r="A282" s="28"/>
      <c r="B282" s="28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15.75">
      <c r="A283" s="28"/>
      <c r="B283" s="28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ht="15.75">
      <c r="A284" s="28"/>
      <c r="B284" s="28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15.75">
      <c r="A285" s="28"/>
      <c r="B285" s="28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ht="15.75">
      <c r="A286" s="28"/>
      <c r="B286" s="28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5.75">
      <c r="A287" s="28"/>
      <c r="B287" s="28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5.75">
      <c r="A288" s="28"/>
      <c r="B288" s="28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15.75">
      <c r="A289" s="28"/>
      <c r="B289" s="28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ht="15.75">
      <c r="A290" s="28"/>
      <c r="B290" s="28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ht="15.75">
      <c r="A291" s="28"/>
      <c r="B291" s="28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ht="15.75">
      <c r="A292" s="28"/>
      <c r="B292" s="28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15.75">
      <c r="A293" s="28"/>
      <c r="B293" s="28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ht="15.75">
      <c r="A294" s="28"/>
      <c r="B294" s="28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15.75">
      <c r="A295" s="28"/>
      <c r="B295" s="28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ht="15.75">
      <c r="A296" s="28"/>
      <c r="B296" s="28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15.75">
      <c r="A297" s="28"/>
      <c r="B297" s="28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ht="15.75">
      <c r="A298" s="28"/>
      <c r="B298" s="28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15.75">
      <c r="A299" s="28"/>
      <c r="B299" s="28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ht="15.75">
      <c r="A300" s="28"/>
      <c r="B300" s="28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15.75">
      <c r="A301" s="28"/>
      <c r="B301" s="28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ht="15.75">
      <c r="A302" s="28"/>
      <c r="B302" s="28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15.75">
      <c r="A303" s="28"/>
      <c r="B303" s="28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5.75">
      <c r="A304" s="28"/>
      <c r="B304" s="28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5.75">
      <c r="A305" s="28"/>
      <c r="B305" s="28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ht="15.75">
      <c r="A306" s="28"/>
      <c r="B306" s="28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15.75">
      <c r="A307" s="28"/>
      <c r="B307" s="28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ht="15.75">
      <c r="A308" s="28"/>
      <c r="B308" s="28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15.75">
      <c r="A309" s="28"/>
      <c r="B309" s="28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ht="15.75">
      <c r="A310" s="28"/>
      <c r="B310" s="28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5.75">
      <c r="A311" s="28"/>
      <c r="B311" s="28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ht="15.75">
      <c r="A312" s="28"/>
      <c r="B312" s="28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15.75">
      <c r="A313" s="28"/>
      <c r="B313" s="28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ht="15.75">
      <c r="A314" s="28"/>
      <c r="B314" s="28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15.75">
      <c r="A315" s="28"/>
      <c r="B315" s="28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5.75">
      <c r="A316" s="28"/>
      <c r="B316" s="28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15.75">
      <c r="A317" s="28"/>
      <c r="B317" s="28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ht="15.75">
      <c r="A318" s="28"/>
      <c r="B318" s="28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15.75">
      <c r="A319" s="28"/>
      <c r="B319" s="28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15.75">
      <c r="A320" s="28"/>
      <c r="B320" s="28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5.75">
      <c r="A321" s="28"/>
      <c r="B321" s="28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5.75">
      <c r="A322" s="28"/>
      <c r="B322" s="28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5.75">
      <c r="A323" s="28"/>
      <c r="B323" s="28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5.75">
      <c r="A324" s="28"/>
      <c r="B324" s="28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5.75">
      <c r="A325" s="28"/>
      <c r="B325" s="28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5.75">
      <c r="A326" s="28"/>
      <c r="B326" s="28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5.75">
      <c r="A327" s="28"/>
      <c r="B327" s="28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5.75">
      <c r="A328" s="28"/>
      <c r="B328" s="28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5.75">
      <c r="A329" s="28"/>
      <c r="B329" s="28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5.75">
      <c r="A330" s="28"/>
      <c r="B330" s="28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5.75">
      <c r="A331" s="28"/>
      <c r="B331" s="28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5.75">
      <c r="A332" s="28"/>
      <c r="B332" s="28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5.75">
      <c r="A333" s="28"/>
      <c r="B333" s="28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5.75">
      <c r="A334" s="28"/>
      <c r="B334" s="28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5.75">
      <c r="A335" s="28"/>
      <c r="B335" s="28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5.75">
      <c r="A336" s="28"/>
      <c r="B336" s="28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5.75">
      <c r="A337" s="28"/>
      <c r="B337" s="28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5.75">
      <c r="A338" s="28"/>
      <c r="B338" s="28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5.75">
      <c r="A339" s="28"/>
      <c r="B339" s="28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5.75">
      <c r="A340" s="28"/>
      <c r="B340" s="28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5.75">
      <c r="A341" s="28"/>
      <c r="B341" s="28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5.75">
      <c r="A342" s="28"/>
      <c r="B342" s="28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5.75">
      <c r="A343" s="28"/>
      <c r="B343" s="28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5.75">
      <c r="A344" s="28"/>
      <c r="B344" s="28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5.75">
      <c r="A345" s="28"/>
      <c r="B345" s="28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5.75">
      <c r="A346" s="28"/>
      <c r="B346" s="28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5.75">
      <c r="A347" s="28"/>
      <c r="B347" s="28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5.75">
      <c r="A348" s="28"/>
      <c r="B348" s="28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5.75">
      <c r="A349" s="28"/>
      <c r="B349" s="28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5.75">
      <c r="A350" s="28"/>
      <c r="B350" s="28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5.75">
      <c r="A351" s="28"/>
      <c r="B351" s="28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5.75">
      <c r="A352" s="28"/>
      <c r="B352" s="28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5.75">
      <c r="A353" s="28"/>
      <c r="B353" s="28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5.75">
      <c r="A354" s="28"/>
      <c r="B354" s="28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5.75">
      <c r="A355" s="28"/>
      <c r="B355" s="28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5.75">
      <c r="A356" s="28"/>
      <c r="B356" s="28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5.75">
      <c r="A357" s="28"/>
      <c r="B357" s="28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5.75">
      <c r="A358" s="28"/>
      <c r="B358" s="28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5.75">
      <c r="A359" s="28"/>
      <c r="B359" s="28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5.75">
      <c r="A360" s="28"/>
      <c r="B360" s="28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5.75">
      <c r="A361" s="28"/>
      <c r="B361" s="28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5.75">
      <c r="A362" s="28"/>
      <c r="B362" s="28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5.75">
      <c r="A363" s="28"/>
      <c r="B363" s="28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5.75">
      <c r="A364" s="28"/>
      <c r="B364" s="28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5.75">
      <c r="A365" s="28"/>
      <c r="B365" s="28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5.75">
      <c r="A366" s="28"/>
      <c r="B366" s="28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5.75">
      <c r="A367" s="28"/>
      <c r="B367" s="28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5.75">
      <c r="A368" s="28"/>
      <c r="B368" s="28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5.75">
      <c r="A369" s="28"/>
      <c r="B369" s="28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5.75">
      <c r="A370" s="28"/>
      <c r="B370" s="28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5.75">
      <c r="A371" s="28"/>
      <c r="B371" s="28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5.75">
      <c r="A372" s="28"/>
      <c r="B372" s="28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5.75">
      <c r="A373" s="28"/>
      <c r="B373" s="28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5.75">
      <c r="A374" s="28"/>
      <c r="B374" s="28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5.75">
      <c r="A375" s="28"/>
      <c r="B375" s="28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5.75">
      <c r="A376" s="28"/>
      <c r="B376" s="28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5.75">
      <c r="A377" s="28"/>
      <c r="B377" s="28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5.75">
      <c r="A378" s="28"/>
      <c r="B378" s="28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5.75">
      <c r="A379" s="28"/>
      <c r="B379" s="28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5.75">
      <c r="A380" s="28"/>
      <c r="B380" s="28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15.75">
      <c r="A381" s="28"/>
      <c r="B381" s="28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ht="15.75">
      <c r="A382" s="28"/>
      <c r="B382" s="28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15.75">
      <c r="A383" s="28"/>
      <c r="B383" s="28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ht="15.75">
      <c r="A384" s="28"/>
      <c r="B384" s="28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15.75">
      <c r="A385" s="28"/>
      <c r="B385" s="28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ht="15.75">
      <c r="A386" s="28"/>
      <c r="B386" s="28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5.75">
      <c r="A387" s="28"/>
      <c r="B387" s="28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5.75">
      <c r="A388" s="28"/>
      <c r="B388" s="28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5.75">
      <c r="A389" s="28"/>
      <c r="B389" s="28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5.75">
      <c r="A390" s="28"/>
      <c r="B390" s="28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5.75">
      <c r="A391" s="28"/>
      <c r="B391" s="28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5.75">
      <c r="A392" s="28"/>
      <c r="B392" s="28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5.75">
      <c r="A393" s="28"/>
      <c r="B393" s="28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5.75">
      <c r="A394" s="28"/>
      <c r="B394" s="28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5.75">
      <c r="A395" s="28"/>
      <c r="B395" s="28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5.75">
      <c r="A396" s="28"/>
      <c r="B396" s="28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5.75">
      <c r="A397" s="28"/>
      <c r="B397" s="28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5.75">
      <c r="A398" s="28"/>
      <c r="B398" s="28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5.75">
      <c r="A399" s="28"/>
      <c r="B399" s="28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5.75">
      <c r="A400" s="28"/>
      <c r="B400" s="28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15.75">
      <c r="A401" s="28"/>
      <c r="B401" s="28"/>
      <c r="C401" s="30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ht="15.75">
      <c r="A402" s="28"/>
      <c r="B402" s="28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15.75">
      <c r="A403" s="28"/>
      <c r="B403" s="28"/>
      <c r="C403" s="30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ht="15.75">
      <c r="A404" s="28"/>
      <c r="B404" s="28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ht="15.75">
      <c r="A405" s="28"/>
      <c r="B405" s="28"/>
      <c r="C405" s="30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ht="15.75">
      <c r="A406" s="28"/>
      <c r="B406" s="28"/>
      <c r="C406" s="30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ht="15.75">
      <c r="A407" s="28"/>
      <c r="B407" s="28"/>
      <c r="C407" s="30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ht="15.75">
      <c r="A408" s="28"/>
      <c r="B408" s="28"/>
      <c r="C408" s="30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ht="15.75">
      <c r="A409" s="28"/>
      <c r="B409" s="28"/>
      <c r="C409" s="30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ht="15.75">
      <c r="A410" s="28"/>
      <c r="B410" s="28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ht="15.75">
      <c r="A411" s="28"/>
      <c r="B411" s="28"/>
      <c r="C411" s="30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ht="15.75">
      <c r="A412" s="28"/>
      <c r="B412" s="28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15.75">
      <c r="A413" s="28"/>
      <c r="B413" s="28"/>
      <c r="C413" s="30"/>
      <c r="D413" s="30"/>
      <c r="E413" s="30"/>
      <c r="F413" s="30"/>
      <c r="G413" s="30"/>
      <c r="H413" s="30"/>
      <c r="I413" s="30"/>
      <c r="J413" s="30"/>
      <c r="K413" s="30"/>
      <c r="L413" s="30"/>
    </row>
    <row r="414" spans="1:12" ht="15.75">
      <c r="A414" s="28"/>
      <c r="B414" s="28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15.75">
      <c r="A415" s="28"/>
      <c r="B415" s="28"/>
      <c r="C415" s="30"/>
      <c r="D415" s="30"/>
      <c r="E415" s="30"/>
      <c r="F415" s="30"/>
      <c r="G415" s="30"/>
      <c r="H415" s="30"/>
      <c r="I415" s="30"/>
      <c r="J415" s="30"/>
      <c r="K415" s="30"/>
      <c r="L415" s="30"/>
    </row>
    <row r="416" spans="1:12" ht="15.75">
      <c r="A416" s="28"/>
      <c r="B416" s="28"/>
      <c r="C416" s="30"/>
      <c r="D416" s="30"/>
      <c r="E416" s="30"/>
      <c r="F416" s="30"/>
      <c r="G416" s="30"/>
      <c r="H416" s="30"/>
      <c r="I416" s="30"/>
      <c r="J416" s="30"/>
      <c r="K416" s="30"/>
      <c r="L416" s="30"/>
    </row>
    <row r="417" spans="1:12" ht="15.75">
      <c r="A417" s="28"/>
      <c r="B417" s="28"/>
      <c r="C417" s="30"/>
      <c r="D417" s="30"/>
      <c r="E417" s="30"/>
      <c r="F417" s="30"/>
      <c r="G417" s="30"/>
      <c r="H417" s="30"/>
      <c r="I417" s="30"/>
      <c r="J417" s="30"/>
      <c r="K417" s="30"/>
      <c r="L417" s="30"/>
    </row>
    <row r="418" spans="1:12" ht="15.75">
      <c r="A418" s="28"/>
      <c r="B418" s="28"/>
      <c r="C418" s="30"/>
      <c r="D418" s="30"/>
      <c r="E418" s="30"/>
      <c r="F418" s="30"/>
      <c r="G418" s="30"/>
      <c r="H418" s="30"/>
      <c r="I418" s="30"/>
      <c r="J418" s="30"/>
      <c r="K418" s="30"/>
      <c r="L418" s="30"/>
    </row>
    <row r="419" spans="1:12" ht="15.75">
      <c r="A419" s="28"/>
      <c r="B419" s="28"/>
      <c r="C419" s="30"/>
      <c r="D419" s="30"/>
      <c r="E419" s="30"/>
      <c r="F419" s="30"/>
      <c r="G419" s="30"/>
      <c r="H419" s="30"/>
      <c r="I419" s="30"/>
      <c r="J419" s="30"/>
      <c r="K419" s="30"/>
      <c r="L419" s="30"/>
    </row>
    <row r="420" spans="1:12" ht="15.75">
      <c r="A420" s="28"/>
      <c r="B420" s="28"/>
      <c r="C420" s="30"/>
      <c r="D420" s="30"/>
      <c r="E420" s="30"/>
      <c r="F420" s="30"/>
      <c r="G420" s="30"/>
      <c r="H420" s="30"/>
      <c r="I420" s="30"/>
      <c r="J420" s="30"/>
      <c r="K420" s="30"/>
      <c r="L420" s="30"/>
    </row>
    <row r="421" spans="1:12" ht="15.75">
      <c r="A421" s="28"/>
      <c r="B421" s="28"/>
      <c r="C421" s="30"/>
      <c r="D421" s="30"/>
      <c r="E421" s="30"/>
      <c r="F421" s="30"/>
      <c r="G421" s="30"/>
      <c r="H421" s="30"/>
      <c r="I421" s="30"/>
      <c r="J421" s="30"/>
      <c r="K421" s="30"/>
      <c r="L421" s="30"/>
    </row>
    <row r="422" spans="1:12" ht="15.75">
      <c r="A422" s="28"/>
      <c r="B422" s="28"/>
      <c r="C422" s="30"/>
      <c r="D422" s="30"/>
      <c r="E422" s="30"/>
      <c r="F422" s="30"/>
      <c r="G422" s="30"/>
      <c r="H422" s="30"/>
      <c r="I422" s="30"/>
      <c r="J422" s="30"/>
      <c r="K422" s="30"/>
      <c r="L422" s="30"/>
    </row>
    <row r="423" spans="1:12" ht="15.75">
      <c r="A423" s="28"/>
      <c r="B423" s="28"/>
      <c r="C423" s="30"/>
      <c r="D423" s="30"/>
      <c r="E423" s="30"/>
      <c r="F423" s="30"/>
      <c r="G423" s="30"/>
      <c r="H423" s="30"/>
      <c r="I423" s="30"/>
      <c r="J423" s="30"/>
      <c r="K423" s="30"/>
      <c r="L423" s="30"/>
    </row>
    <row r="424" spans="1:12" ht="15.75">
      <c r="A424" s="28"/>
      <c r="B424" s="28"/>
      <c r="C424" s="30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1:12" ht="15.75">
      <c r="A425" s="28"/>
      <c r="B425" s="28"/>
      <c r="C425" s="30"/>
      <c r="D425" s="30"/>
      <c r="E425" s="30"/>
      <c r="F425" s="30"/>
      <c r="G425" s="30"/>
      <c r="H425" s="30"/>
      <c r="I425" s="30"/>
      <c r="J425" s="30"/>
      <c r="K425" s="30"/>
      <c r="L425" s="30"/>
    </row>
    <row r="426" spans="1:12" ht="15.75">
      <c r="A426" s="28"/>
      <c r="B426" s="28"/>
      <c r="C426" s="30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ht="15.75">
      <c r="A427" s="28"/>
      <c r="B427" s="28"/>
      <c r="C427" s="30"/>
      <c r="D427" s="30"/>
      <c r="E427" s="30"/>
      <c r="F427" s="30"/>
      <c r="G427" s="30"/>
      <c r="H427" s="30"/>
      <c r="I427" s="30"/>
      <c r="J427" s="30"/>
      <c r="K427" s="30"/>
      <c r="L427" s="30"/>
    </row>
    <row r="428" spans="1:12" ht="15.75">
      <c r="A428" s="28"/>
      <c r="B428" s="28"/>
      <c r="C428" s="30"/>
      <c r="D428" s="30"/>
      <c r="E428" s="30"/>
      <c r="F428" s="30"/>
      <c r="G428" s="30"/>
      <c r="H428" s="30"/>
      <c r="I428" s="30"/>
      <c r="J428" s="30"/>
      <c r="K428" s="30"/>
      <c r="L428" s="30"/>
    </row>
    <row r="429" spans="1:12" ht="15.75">
      <c r="A429" s="28"/>
      <c r="B429" s="28"/>
      <c r="C429" s="30"/>
      <c r="D429" s="30"/>
      <c r="E429" s="30"/>
      <c r="F429" s="30"/>
      <c r="G429" s="30"/>
      <c r="H429" s="30"/>
      <c r="I429" s="30"/>
      <c r="J429" s="30"/>
      <c r="K429" s="30"/>
      <c r="L429" s="30"/>
    </row>
    <row r="430" spans="1:12" ht="15.75">
      <c r="A430" s="28"/>
      <c r="B430" s="28"/>
      <c r="C430" s="30"/>
      <c r="D430" s="30"/>
      <c r="E430" s="30"/>
      <c r="F430" s="30"/>
      <c r="G430" s="30"/>
      <c r="H430" s="30"/>
      <c r="I430" s="30"/>
      <c r="J430" s="30"/>
      <c r="K430" s="30"/>
      <c r="L430" s="30"/>
    </row>
    <row r="431" spans="1:12" ht="15.75">
      <c r="A431" s="28"/>
      <c r="B431" s="28"/>
      <c r="C431" s="30"/>
      <c r="D431" s="30"/>
      <c r="E431" s="30"/>
      <c r="F431" s="30"/>
      <c r="G431" s="30"/>
      <c r="H431" s="30"/>
      <c r="I431" s="30"/>
      <c r="J431" s="30"/>
      <c r="K431" s="30"/>
      <c r="L431" s="30"/>
    </row>
    <row r="432" spans="1:12" ht="15.75">
      <c r="A432" s="28"/>
      <c r="B432" s="28"/>
      <c r="C432" s="30"/>
      <c r="D432" s="30"/>
      <c r="E432" s="30"/>
      <c r="F432" s="30"/>
      <c r="G432" s="30"/>
      <c r="H432" s="30"/>
      <c r="I432" s="30"/>
      <c r="J432" s="30"/>
      <c r="K432" s="30"/>
      <c r="L432" s="30"/>
    </row>
    <row r="433" spans="1:12" ht="15.75">
      <c r="A433" s="28"/>
      <c r="B433" s="28"/>
      <c r="C433" s="30"/>
      <c r="D433" s="30"/>
      <c r="E433" s="30"/>
      <c r="F433" s="30"/>
      <c r="G433" s="30"/>
      <c r="H433" s="30"/>
      <c r="I433" s="30"/>
      <c r="J433" s="30"/>
      <c r="K433" s="30"/>
      <c r="L433" s="30"/>
    </row>
    <row r="434" spans="1:12" ht="15.75">
      <c r="A434" s="28"/>
      <c r="B434" s="28"/>
      <c r="C434" s="30"/>
      <c r="D434" s="30"/>
      <c r="E434" s="30"/>
      <c r="F434" s="30"/>
      <c r="G434" s="30"/>
      <c r="H434" s="30"/>
      <c r="I434" s="30"/>
      <c r="J434" s="30"/>
      <c r="K434" s="30"/>
      <c r="L434" s="30"/>
    </row>
    <row r="435" spans="1:12" ht="15.75">
      <c r="A435" s="28"/>
      <c r="B435" s="28"/>
      <c r="C435" s="30"/>
      <c r="D435" s="30"/>
      <c r="E435" s="30"/>
      <c r="F435" s="30"/>
      <c r="G435" s="30"/>
      <c r="H435" s="30"/>
      <c r="I435" s="30"/>
      <c r="J435" s="30"/>
      <c r="K435" s="30"/>
      <c r="L435" s="30"/>
    </row>
    <row r="436" spans="1:12" ht="15.75">
      <c r="A436" s="28"/>
      <c r="B436" s="28"/>
      <c r="C436" s="30"/>
      <c r="D436" s="30"/>
      <c r="E436" s="30"/>
      <c r="F436" s="30"/>
      <c r="G436" s="30"/>
      <c r="H436" s="30"/>
      <c r="I436" s="30"/>
      <c r="J436" s="30"/>
      <c r="K436" s="30"/>
      <c r="L436" s="30"/>
    </row>
    <row r="437" spans="1:12" ht="15.75">
      <c r="A437" s="28"/>
      <c r="B437" s="28"/>
      <c r="C437" s="30"/>
      <c r="D437" s="30"/>
      <c r="E437" s="30"/>
      <c r="F437" s="30"/>
      <c r="G437" s="30"/>
      <c r="H437" s="30"/>
      <c r="I437" s="30"/>
      <c r="J437" s="30"/>
      <c r="K437" s="30"/>
      <c r="L437" s="30"/>
    </row>
    <row r="438" spans="1:12" ht="15.75">
      <c r="A438" s="28"/>
      <c r="B438" s="28"/>
      <c r="C438" s="30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1:12" ht="15.75">
      <c r="A439" s="28"/>
      <c r="B439" s="28"/>
      <c r="C439" s="30"/>
      <c r="D439" s="30"/>
      <c r="E439" s="30"/>
      <c r="F439" s="30"/>
      <c r="G439" s="30"/>
      <c r="H439" s="30"/>
      <c r="I439" s="30"/>
      <c r="J439" s="30"/>
      <c r="K439" s="30"/>
      <c r="L439" s="30"/>
    </row>
    <row r="440" spans="1:12" ht="15.75">
      <c r="A440" s="28"/>
      <c r="B440" s="28"/>
      <c r="C440" s="30"/>
      <c r="D440" s="30"/>
      <c r="E440" s="30"/>
      <c r="F440" s="30"/>
      <c r="G440" s="30"/>
      <c r="H440" s="30"/>
      <c r="I440" s="30"/>
      <c r="J440" s="30"/>
      <c r="K440" s="30"/>
      <c r="L440" s="30"/>
    </row>
    <row r="441" spans="1:12" ht="15.75">
      <c r="A441" s="28"/>
      <c r="B441" s="28"/>
      <c r="C441" s="30"/>
      <c r="D441" s="30"/>
      <c r="E441" s="30"/>
      <c r="F441" s="30"/>
      <c r="G441" s="30"/>
      <c r="H441" s="30"/>
      <c r="I441" s="30"/>
      <c r="J441" s="30"/>
      <c r="K441" s="30"/>
      <c r="L441" s="30"/>
    </row>
    <row r="442" spans="1:12" ht="15.75">
      <c r="A442" s="28"/>
      <c r="B442" s="28"/>
      <c r="C442" s="30"/>
      <c r="D442" s="30"/>
      <c r="E442" s="30"/>
      <c r="F442" s="30"/>
      <c r="G442" s="30"/>
      <c r="H442" s="30"/>
      <c r="I442" s="30"/>
      <c r="J442" s="30"/>
      <c r="K442" s="30"/>
      <c r="L442" s="30"/>
    </row>
    <row r="443" spans="1:12" ht="15.75">
      <c r="A443" s="28"/>
      <c r="B443" s="28"/>
      <c r="C443" s="30"/>
      <c r="D443" s="30"/>
      <c r="E443" s="30"/>
      <c r="F443" s="30"/>
      <c r="G443" s="30"/>
      <c r="H443" s="30"/>
      <c r="I443" s="30"/>
      <c r="J443" s="30"/>
      <c r="K443" s="30"/>
      <c r="L443" s="30"/>
    </row>
    <row r="444" spans="1:12" ht="15.75">
      <c r="A444" s="28"/>
      <c r="B444" s="28"/>
      <c r="C444" s="30"/>
      <c r="D444" s="30"/>
      <c r="E444" s="30"/>
      <c r="F444" s="30"/>
      <c r="G444" s="30"/>
      <c r="H444" s="30"/>
      <c r="I444" s="30"/>
      <c r="J444" s="30"/>
      <c r="K444" s="30"/>
      <c r="L444" s="30"/>
    </row>
    <row r="445" spans="1:12" ht="15.75">
      <c r="A445" s="28"/>
      <c r="B445" s="28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ht="15.75">
      <c r="A446" s="28"/>
      <c r="B446" s="28"/>
      <c r="C446" s="30"/>
      <c r="D446" s="30"/>
      <c r="E446" s="30"/>
      <c r="F446" s="30"/>
      <c r="G446" s="30"/>
      <c r="H446" s="30"/>
      <c r="I446" s="30"/>
      <c r="J446" s="30"/>
      <c r="K446" s="30"/>
      <c r="L446" s="30"/>
    </row>
    <row r="447" spans="1:12" ht="15.75">
      <c r="A447" s="28"/>
      <c r="B447" s="28"/>
      <c r="C447" s="30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ht="15.75">
      <c r="A448" s="28"/>
      <c r="B448" s="28"/>
      <c r="C448" s="30"/>
      <c r="D448" s="30"/>
      <c r="E448" s="30"/>
      <c r="F448" s="30"/>
      <c r="G448" s="30"/>
      <c r="H448" s="30"/>
      <c r="I448" s="30"/>
      <c r="J448" s="30"/>
      <c r="K448" s="30"/>
      <c r="L448" s="30"/>
    </row>
    <row r="449" spans="1:12" ht="15.75">
      <c r="A449" s="28"/>
      <c r="B449" s="28"/>
      <c r="C449" s="30"/>
      <c r="D449" s="30"/>
      <c r="E449" s="30"/>
      <c r="F449" s="30"/>
      <c r="G449" s="30"/>
      <c r="H449" s="30"/>
      <c r="I449" s="30"/>
      <c r="J449" s="30"/>
      <c r="K449" s="30"/>
      <c r="L449" s="30"/>
    </row>
    <row r="450" spans="1:12" ht="15.75">
      <c r="A450" s="28"/>
      <c r="B450" s="28"/>
      <c r="C450" s="30"/>
      <c r="D450" s="30"/>
      <c r="E450" s="30"/>
      <c r="F450" s="30"/>
      <c r="G450" s="30"/>
      <c r="H450" s="30"/>
      <c r="I450" s="30"/>
      <c r="J450" s="30"/>
      <c r="K450" s="30"/>
      <c r="L450" s="30"/>
    </row>
    <row r="451" spans="1:12" ht="15.75">
      <c r="A451" s="28"/>
      <c r="B451" s="28"/>
      <c r="C451" s="30"/>
      <c r="D451" s="30"/>
      <c r="E451" s="30"/>
      <c r="F451" s="30"/>
      <c r="G451" s="30"/>
      <c r="H451" s="30"/>
      <c r="I451" s="30"/>
      <c r="J451" s="30"/>
      <c r="K451" s="30"/>
      <c r="L451" s="30"/>
    </row>
    <row r="452" spans="1:12" ht="15.75">
      <c r="A452" s="28"/>
      <c r="B452" s="28"/>
      <c r="C452" s="30"/>
      <c r="D452" s="30"/>
      <c r="E452" s="30"/>
      <c r="F452" s="30"/>
      <c r="G452" s="30"/>
      <c r="H452" s="30"/>
      <c r="I452" s="30"/>
      <c r="J452" s="30"/>
      <c r="K452" s="30"/>
      <c r="L452" s="30"/>
    </row>
    <row r="453" spans="1:12" ht="15.75">
      <c r="A453" s="28"/>
      <c r="B453" s="28"/>
      <c r="C453" s="30"/>
      <c r="D453" s="30"/>
      <c r="E453" s="30"/>
      <c r="F453" s="30"/>
      <c r="G453" s="30"/>
      <c r="H453" s="30"/>
      <c r="I453" s="30"/>
      <c r="J453" s="30"/>
      <c r="K453" s="30"/>
      <c r="L453" s="30"/>
    </row>
    <row r="454" spans="1:12" ht="15.75">
      <c r="A454" s="28"/>
      <c r="B454" s="28"/>
      <c r="C454" s="30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ht="15.75">
      <c r="A455" s="28"/>
      <c r="B455" s="28"/>
      <c r="C455" s="30"/>
      <c r="D455" s="30"/>
      <c r="E455" s="30"/>
      <c r="F455" s="30"/>
      <c r="G455" s="30"/>
      <c r="H455" s="30"/>
      <c r="I455" s="30"/>
      <c r="J455" s="30"/>
      <c r="K455" s="30"/>
      <c r="L455" s="30"/>
    </row>
    <row r="456" spans="1:12" ht="15.75">
      <c r="A456" s="28"/>
      <c r="B456" s="28"/>
      <c r="C456" s="30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ht="15.75">
      <c r="A457" s="28"/>
      <c r="B457" s="28"/>
      <c r="C457" s="30"/>
      <c r="D457" s="30"/>
      <c r="E457" s="30"/>
      <c r="F457" s="30"/>
      <c r="G457" s="30"/>
      <c r="H457" s="30"/>
      <c r="I457" s="30"/>
      <c r="J457" s="30"/>
      <c r="K457" s="30"/>
      <c r="L457" s="30"/>
    </row>
    <row r="458" spans="1:12" ht="15.75">
      <c r="A458" s="28"/>
      <c r="B458" s="28"/>
      <c r="C458" s="30"/>
      <c r="D458" s="30"/>
      <c r="E458" s="30"/>
      <c r="F458" s="30"/>
      <c r="G458" s="30"/>
      <c r="H458" s="30"/>
      <c r="I458" s="30"/>
      <c r="J458" s="30"/>
      <c r="K458" s="30"/>
      <c r="L458" s="30"/>
    </row>
    <row r="459" spans="1:12" ht="15.75">
      <c r="A459" s="28"/>
      <c r="B459" s="28"/>
      <c r="C459" s="30"/>
      <c r="D459" s="30"/>
      <c r="E459" s="30"/>
      <c r="F459" s="30"/>
      <c r="G459" s="30"/>
      <c r="H459" s="30"/>
      <c r="I459" s="30"/>
      <c r="J459" s="30"/>
      <c r="K459" s="30"/>
      <c r="L459" s="30"/>
    </row>
    <row r="460" spans="1:12" ht="15.75">
      <c r="A460" s="28"/>
      <c r="B460" s="28"/>
      <c r="C460" s="30"/>
      <c r="D460" s="30"/>
      <c r="E460" s="30"/>
      <c r="F460" s="30"/>
      <c r="G460" s="30"/>
      <c r="H460" s="30"/>
      <c r="I460" s="30"/>
      <c r="J460" s="30"/>
      <c r="K460" s="30"/>
      <c r="L460" s="30"/>
    </row>
    <row r="461" spans="1:12" ht="15.75">
      <c r="A461" s="28"/>
      <c r="B461" s="28"/>
      <c r="C461" s="30"/>
      <c r="D461" s="30"/>
      <c r="E461" s="30"/>
      <c r="F461" s="30"/>
      <c r="G461" s="30"/>
      <c r="H461" s="30"/>
      <c r="I461" s="30"/>
      <c r="J461" s="30"/>
      <c r="K461" s="30"/>
      <c r="L461" s="30"/>
    </row>
    <row r="462" spans="1:12" ht="15.75">
      <c r="A462" s="28"/>
      <c r="B462" s="28"/>
      <c r="C462" s="30"/>
      <c r="D462" s="30"/>
      <c r="E462" s="30"/>
      <c r="F462" s="30"/>
      <c r="G462" s="30"/>
      <c r="H462" s="30"/>
      <c r="I462" s="30"/>
      <c r="J462" s="30"/>
      <c r="K462" s="30"/>
      <c r="L462" s="30"/>
    </row>
    <row r="463" spans="1:12" ht="15.75">
      <c r="A463" s="28"/>
      <c r="B463" s="28"/>
      <c r="C463" s="30"/>
      <c r="D463" s="30"/>
      <c r="E463" s="30"/>
      <c r="F463" s="30"/>
      <c r="G463" s="30"/>
      <c r="H463" s="30"/>
      <c r="I463" s="30"/>
      <c r="J463" s="30"/>
      <c r="K463" s="30"/>
      <c r="L463" s="30"/>
    </row>
    <row r="464" spans="1:12" ht="15.75">
      <c r="A464" s="28"/>
      <c r="B464" s="28"/>
      <c r="C464" s="30"/>
      <c r="D464" s="30"/>
      <c r="E464" s="30"/>
      <c r="F464" s="30"/>
      <c r="G464" s="30"/>
      <c r="H464" s="30"/>
      <c r="I464" s="30"/>
      <c r="J464" s="30"/>
      <c r="K464" s="30"/>
      <c r="L464" s="30"/>
    </row>
    <row r="465" spans="1:12" ht="15.75">
      <c r="A465" s="28"/>
      <c r="B465" s="28"/>
      <c r="C465" s="30"/>
      <c r="D465" s="30"/>
      <c r="E465" s="30"/>
      <c r="F465" s="30"/>
      <c r="G465" s="30"/>
      <c r="H465" s="30"/>
      <c r="I465" s="30"/>
      <c r="J465" s="30"/>
      <c r="K465" s="30"/>
      <c r="L465" s="30"/>
    </row>
    <row r="466" spans="1:12" ht="15.75">
      <c r="A466" s="28"/>
      <c r="B466" s="28"/>
      <c r="C466" s="30"/>
      <c r="D466" s="30"/>
      <c r="E466" s="30"/>
      <c r="F466" s="30"/>
      <c r="G466" s="30"/>
      <c r="H466" s="30"/>
      <c r="I466" s="30"/>
      <c r="J466" s="30"/>
      <c r="K466" s="30"/>
      <c r="L466" s="30"/>
    </row>
    <row r="467" spans="1:12" ht="15.75">
      <c r="A467" s="28"/>
      <c r="B467" s="28"/>
      <c r="C467" s="30"/>
      <c r="D467" s="30"/>
      <c r="E467" s="30"/>
      <c r="F467" s="30"/>
      <c r="G467" s="30"/>
      <c r="H467" s="30"/>
      <c r="I467" s="30"/>
      <c r="J467" s="30"/>
      <c r="K467" s="30"/>
      <c r="L467" s="30"/>
    </row>
    <row r="468" spans="1:12" ht="15.75">
      <c r="A468" s="28"/>
      <c r="B468" s="28"/>
      <c r="C468" s="30"/>
      <c r="D468" s="30"/>
      <c r="E468" s="30"/>
      <c r="F468" s="30"/>
      <c r="G468" s="30"/>
      <c r="H468" s="30"/>
      <c r="I468" s="30"/>
      <c r="J468" s="30"/>
      <c r="K468" s="30"/>
      <c r="L468" s="30"/>
    </row>
    <row r="469" spans="1:12" ht="15.75">
      <c r="A469" s="28"/>
      <c r="B469" s="28"/>
      <c r="C469" s="30"/>
      <c r="D469" s="30"/>
      <c r="E469" s="30"/>
      <c r="F469" s="30"/>
      <c r="G469" s="30"/>
      <c r="H469" s="30"/>
      <c r="I469" s="30"/>
      <c r="J469" s="30"/>
      <c r="K469" s="30"/>
      <c r="L469" s="30"/>
    </row>
    <row r="470" spans="1:12" ht="15.75">
      <c r="A470" s="28"/>
      <c r="B470" s="28"/>
      <c r="C470" s="30"/>
      <c r="D470" s="30"/>
      <c r="E470" s="30"/>
      <c r="F470" s="30"/>
      <c r="G470" s="30"/>
      <c r="H470" s="30"/>
      <c r="I470" s="30"/>
      <c r="J470" s="30"/>
      <c r="K470" s="30"/>
      <c r="L470" s="30"/>
    </row>
    <row r="471" spans="1:12" ht="15.75">
      <c r="A471" s="28"/>
      <c r="B471" s="28"/>
      <c r="C471" s="30"/>
      <c r="D471" s="30"/>
      <c r="E471" s="30"/>
      <c r="F471" s="30"/>
      <c r="G471" s="30"/>
      <c r="H471" s="30"/>
      <c r="I471" s="30"/>
      <c r="J471" s="30"/>
      <c r="K471" s="30"/>
      <c r="L471" s="30"/>
    </row>
    <row r="472" spans="1:12" ht="15.75">
      <c r="A472" s="28"/>
      <c r="B472" s="28"/>
      <c r="C472" s="30"/>
      <c r="D472" s="30"/>
      <c r="E472" s="30"/>
      <c r="F472" s="30"/>
      <c r="G472" s="30"/>
      <c r="H472" s="30"/>
      <c r="I472" s="30"/>
      <c r="J472" s="30"/>
      <c r="K472" s="30"/>
      <c r="L472" s="30"/>
    </row>
    <row r="473" spans="1:12" ht="15.75">
      <c r="A473" s="28"/>
      <c r="B473" s="28"/>
      <c r="C473" s="30"/>
      <c r="D473" s="30"/>
      <c r="E473" s="30"/>
      <c r="F473" s="30"/>
      <c r="G473" s="30"/>
      <c r="H473" s="30"/>
      <c r="I473" s="30"/>
      <c r="J473" s="30"/>
      <c r="K473" s="30"/>
      <c r="L473" s="30"/>
    </row>
    <row r="474" spans="1:12" ht="15.75">
      <c r="A474" s="28"/>
      <c r="B474" s="28"/>
      <c r="C474" s="30"/>
      <c r="D474" s="30"/>
      <c r="E474" s="30"/>
      <c r="F474" s="30"/>
      <c r="G474" s="30"/>
      <c r="H474" s="30"/>
      <c r="I474" s="30"/>
      <c r="J474" s="30"/>
      <c r="K474" s="30"/>
      <c r="L474" s="30"/>
    </row>
    <row r="475" spans="1:12" ht="15.75">
      <c r="A475" s="28"/>
      <c r="B475" s="28"/>
      <c r="C475" s="30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1:12" ht="15.75">
      <c r="A476" s="28"/>
      <c r="B476" s="28"/>
      <c r="C476" s="30"/>
      <c r="D476" s="30"/>
      <c r="E476" s="30"/>
      <c r="F476" s="30"/>
      <c r="G476" s="30"/>
      <c r="H476" s="30"/>
      <c r="I476" s="30"/>
      <c r="J476" s="30"/>
      <c r="K476" s="30"/>
      <c r="L476" s="30"/>
    </row>
    <row r="477" spans="1:12" ht="15.75">
      <c r="A477" s="28"/>
      <c r="B477" s="28"/>
      <c r="C477" s="30"/>
      <c r="D477" s="30"/>
      <c r="E477" s="30"/>
      <c r="F477" s="30"/>
      <c r="G477" s="30"/>
      <c r="H477" s="30"/>
      <c r="I477" s="30"/>
      <c r="J477" s="30"/>
      <c r="K477" s="30"/>
      <c r="L477" s="30"/>
    </row>
    <row r="478" spans="1:12" ht="15.75">
      <c r="A478" s="28"/>
      <c r="B478" s="28"/>
      <c r="C478" s="30"/>
      <c r="D478" s="30"/>
      <c r="E478" s="30"/>
      <c r="F478" s="30"/>
      <c r="G478" s="30"/>
      <c r="H478" s="30"/>
      <c r="I478" s="30"/>
      <c r="J478" s="30"/>
      <c r="K478" s="30"/>
      <c r="L478" s="30"/>
    </row>
    <row r="479" spans="1:12" ht="15.75">
      <c r="A479" s="28"/>
      <c r="B479" s="28"/>
      <c r="C479" s="30"/>
      <c r="D479" s="30"/>
      <c r="E479" s="30"/>
      <c r="F479" s="30"/>
      <c r="G479" s="30"/>
      <c r="H479" s="30"/>
      <c r="I479" s="30"/>
      <c r="J479" s="30"/>
      <c r="K479" s="30"/>
      <c r="L479" s="30"/>
    </row>
    <row r="480" spans="1:12" ht="15.75">
      <c r="A480" s="28"/>
      <c r="B480" s="28"/>
      <c r="C480" s="30"/>
      <c r="D480" s="30"/>
      <c r="E480" s="30"/>
      <c r="F480" s="30"/>
      <c r="G480" s="30"/>
      <c r="H480" s="30"/>
      <c r="I480" s="30"/>
      <c r="J480" s="30"/>
      <c r="K480" s="30"/>
      <c r="L480" s="30"/>
    </row>
    <row r="481" spans="1:12" ht="15.75">
      <c r="A481" s="28"/>
      <c r="B481" s="28"/>
      <c r="C481" s="30"/>
      <c r="D481" s="30"/>
      <c r="E481" s="30"/>
      <c r="F481" s="30"/>
      <c r="G481" s="30"/>
      <c r="H481" s="30"/>
      <c r="I481" s="30"/>
      <c r="J481" s="30"/>
      <c r="K481" s="30"/>
      <c r="L481" s="30"/>
    </row>
  </sheetData>
  <sheetProtection/>
  <mergeCells count="150">
    <mergeCell ref="A233:D233"/>
    <mergeCell ref="A234:D234"/>
    <mergeCell ref="A235:D235"/>
    <mergeCell ref="A218:D218"/>
    <mergeCell ref="A219:L219"/>
    <mergeCell ref="A221:D221"/>
    <mergeCell ref="A222:L222"/>
    <mergeCell ref="A229:D229"/>
    <mergeCell ref="A230:L230"/>
    <mergeCell ref="A206:L206"/>
    <mergeCell ref="A211:D211"/>
    <mergeCell ref="A212:D212"/>
    <mergeCell ref="A213:B214"/>
    <mergeCell ref="C213:D213"/>
    <mergeCell ref="E213:F213"/>
    <mergeCell ref="G213:H213"/>
    <mergeCell ref="I213:J213"/>
    <mergeCell ref="K213:L213"/>
    <mergeCell ref="A188:G188"/>
    <mergeCell ref="A193:D193"/>
    <mergeCell ref="A194:L194"/>
    <mergeCell ref="A196:D196"/>
    <mergeCell ref="A197:L197"/>
    <mergeCell ref="A205:D205"/>
    <mergeCell ref="A181:L181"/>
    <mergeCell ref="A184:D184"/>
    <mergeCell ref="A185:D185"/>
    <mergeCell ref="A186:B187"/>
    <mergeCell ref="C186:D186"/>
    <mergeCell ref="E186:F186"/>
    <mergeCell ref="G186:H186"/>
    <mergeCell ref="I186:J186"/>
    <mergeCell ref="K186:L186"/>
    <mergeCell ref="A165:G165"/>
    <mergeCell ref="A169:D169"/>
    <mergeCell ref="A170:L170"/>
    <mergeCell ref="A172:D172"/>
    <mergeCell ref="A173:L173"/>
    <mergeCell ref="A180:D180"/>
    <mergeCell ref="A157:D157"/>
    <mergeCell ref="A158:L158"/>
    <mergeCell ref="A161:D161"/>
    <mergeCell ref="A162:D162"/>
    <mergeCell ref="A163:B164"/>
    <mergeCell ref="C163:D163"/>
    <mergeCell ref="E163:F163"/>
    <mergeCell ref="G163:H163"/>
    <mergeCell ref="I163:J163"/>
    <mergeCell ref="K163:L163"/>
    <mergeCell ref="K141:L141"/>
    <mergeCell ref="A143:L143"/>
    <mergeCell ref="A147:D147"/>
    <mergeCell ref="A148:L148"/>
    <mergeCell ref="A150:D150"/>
    <mergeCell ref="A151:L151"/>
    <mergeCell ref="A128:L128"/>
    <mergeCell ref="A135:D135"/>
    <mergeCell ref="A136:L136"/>
    <mergeCell ref="A139:D139"/>
    <mergeCell ref="A140:D140"/>
    <mergeCell ref="A141:B142"/>
    <mergeCell ref="C141:D141"/>
    <mergeCell ref="E141:F141"/>
    <mergeCell ref="G141:H141"/>
    <mergeCell ref="I141:J141"/>
    <mergeCell ref="I118:J118"/>
    <mergeCell ref="K118:L118"/>
    <mergeCell ref="A120:L120"/>
    <mergeCell ref="A124:D124"/>
    <mergeCell ref="A125:G125"/>
    <mergeCell ref="A127:D127"/>
    <mergeCell ref="A111:G111"/>
    <mergeCell ref="A116:D116"/>
    <mergeCell ref="A117:D117"/>
    <mergeCell ref="A118:B119"/>
    <mergeCell ref="C118:D118"/>
    <mergeCell ref="E118:F118"/>
    <mergeCell ref="G118:H118"/>
    <mergeCell ref="A96:L96"/>
    <mergeCell ref="A100:D100"/>
    <mergeCell ref="A101:G101"/>
    <mergeCell ref="A103:D103"/>
    <mergeCell ref="A104:L104"/>
    <mergeCell ref="A110:D110"/>
    <mergeCell ref="A89:L89"/>
    <mergeCell ref="A92:D92"/>
    <mergeCell ref="A93:D93"/>
    <mergeCell ref="A94:B95"/>
    <mergeCell ref="C94:D94"/>
    <mergeCell ref="E94:F94"/>
    <mergeCell ref="G94:H94"/>
    <mergeCell ref="I94:J94"/>
    <mergeCell ref="K94:L94"/>
    <mergeCell ref="A74:L74"/>
    <mergeCell ref="A78:D78"/>
    <mergeCell ref="A79:L79"/>
    <mergeCell ref="A81:D81"/>
    <mergeCell ref="A82:L82"/>
    <mergeCell ref="A88:D88"/>
    <mergeCell ref="A67:L67"/>
    <mergeCell ref="A70:D70"/>
    <mergeCell ref="A71:D71"/>
    <mergeCell ref="A72:B73"/>
    <mergeCell ref="C72:D72"/>
    <mergeCell ref="E72:F72"/>
    <mergeCell ref="G72:H72"/>
    <mergeCell ref="I72:J72"/>
    <mergeCell ref="K72:L72"/>
    <mergeCell ref="A51:L51"/>
    <mergeCell ref="A55:D55"/>
    <mergeCell ref="A56:L56"/>
    <mergeCell ref="A58:D58"/>
    <mergeCell ref="A59:L59"/>
    <mergeCell ref="A66:D66"/>
    <mergeCell ref="A44:L44"/>
    <mergeCell ref="A47:D47"/>
    <mergeCell ref="A48:D48"/>
    <mergeCell ref="A49:B50"/>
    <mergeCell ref="C49:D49"/>
    <mergeCell ref="E49:F49"/>
    <mergeCell ref="G49:H49"/>
    <mergeCell ref="I49:J49"/>
    <mergeCell ref="K49:L49"/>
    <mergeCell ref="A28:L28"/>
    <mergeCell ref="A32:D32"/>
    <mergeCell ref="A33:L33"/>
    <mergeCell ref="A35:D35"/>
    <mergeCell ref="A36:L36"/>
    <mergeCell ref="A43:D43"/>
    <mergeCell ref="A19:L19"/>
    <mergeCell ref="A24:D24"/>
    <mergeCell ref="A25:D25"/>
    <mergeCell ref="A26:B27"/>
    <mergeCell ref="C26:D26"/>
    <mergeCell ref="E26:F26"/>
    <mergeCell ref="G26:H26"/>
    <mergeCell ref="I26:J26"/>
    <mergeCell ref="K26:L26"/>
    <mergeCell ref="A3:L3"/>
    <mergeCell ref="A7:D7"/>
    <mergeCell ref="A8:L8"/>
    <mergeCell ref="A10:D10"/>
    <mergeCell ref="A11:L11"/>
    <mergeCell ref="A18:D18"/>
    <mergeCell ref="A1:B2"/>
    <mergeCell ref="C1:D1"/>
    <mergeCell ref="E1:F1"/>
    <mergeCell ref="G1:H1"/>
    <mergeCell ref="I1:J1"/>
    <mergeCell ref="K1:L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9" manualBreakCount="9">
    <brk id="25" max="255" man="1"/>
    <brk id="48" max="255" man="1"/>
    <brk id="71" max="255" man="1"/>
    <brk id="93" max="255" man="1"/>
    <brk id="117" max="255" man="1"/>
    <brk id="140" max="255" man="1"/>
    <brk id="162" max="255" man="1"/>
    <brk id="185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mih-ugolek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Admin</cp:lastModifiedBy>
  <cp:lastPrinted>2014-09-01T06:30:19Z</cp:lastPrinted>
  <dcterms:created xsi:type="dcterms:W3CDTF">2010-12-14T10:44:40Z</dcterms:created>
  <dcterms:modified xsi:type="dcterms:W3CDTF">2014-09-01T06:38:24Z</dcterms:modified>
  <cp:category/>
  <cp:version/>
  <cp:contentType/>
  <cp:contentStatus/>
</cp:coreProperties>
</file>